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810" windowHeight="11955" tabRatio="808" activeTab="0"/>
  </bookViews>
  <sheets>
    <sheet name="Grundformulär" sheetId="1" r:id="rId1"/>
    <sheet name="Sotningstaxa underlag" sheetId="2" r:id="rId2"/>
    <sheet name="Sotningstaxa" sheetId="3" r:id="rId3"/>
    <sheet name="Årsarvode" sheetId="4" r:id="rId4"/>
  </sheets>
  <definedNames>
    <definedName name="_xlnm.Print_Area" localSheetId="0">'Grundformulär'!$B$1:$H$30</definedName>
    <definedName name="_xlnm.Print_Area" localSheetId="2">'Sotningstaxa'!$A$1:$G$62</definedName>
    <definedName name="_xlnm.Print_Area" localSheetId="1">'Sotningstaxa underlag'!$A$1:$G$45</definedName>
    <definedName name="_xlnm.Print_Area" localSheetId="3">'Årsarvode'!$A$1:$H$23</definedName>
  </definedNames>
  <calcPr fullCalcOnLoad="1"/>
</workbook>
</file>

<file path=xl/sharedStrings.xml><?xml version="1.0" encoding="utf-8"?>
<sst xmlns="http://schemas.openxmlformats.org/spreadsheetml/2006/main" count="201" uniqueCount="167">
  <si>
    <t>Taxeperiod</t>
  </si>
  <si>
    <t>1.1</t>
  </si>
  <si>
    <t>Grundavgift</t>
  </si>
  <si>
    <t>1.</t>
  </si>
  <si>
    <t>Objekt i småhus</t>
  </si>
  <si>
    <t>Objekt</t>
  </si>
  <si>
    <t>1.2</t>
  </si>
  <si>
    <t>Värmepanna olja</t>
  </si>
  <si>
    <t>1.2.1.1.1</t>
  </si>
  <si>
    <t>Värmepanna fast bränsle</t>
  </si>
  <si>
    <t>1.2.1.2.1</t>
  </si>
  <si>
    <t>Lokaleldstad</t>
  </si>
  <si>
    <t>1.3</t>
  </si>
  <si>
    <t>Förbindelsekanal 1,0-2,5 m</t>
  </si>
  <si>
    <t>2.</t>
  </si>
  <si>
    <t>Övriga objekt</t>
  </si>
  <si>
    <t>2.2</t>
  </si>
  <si>
    <t>Separat rökkanal</t>
  </si>
  <si>
    <t>Hämtning av stege</t>
  </si>
  <si>
    <t>4.5</t>
  </si>
  <si>
    <t>Timersättning</t>
  </si>
  <si>
    <t>Sotningstaxa</t>
  </si>
  <si>
    <t>Tillämpningsområde</t>
  </si>
  <si>
    <t>eller annat sådant arbete utgår ersättning enligt denna taxa.</t>
  </si>
  <si>
    <t>Kronor 
exkl. moms</t>
  </si>
  <si>
    <t>Inställelse för utförande av arbete enligt 1.2. under ordinarie sotningstur per gång</t>
  </si>
  <si>
    <t>Helårsbebott hus (Antal minuter * minutpris)</t>
  </si>
  <si>
    <t>Fritidshus (Antal minuter* minutpris)</t>
  </si>
  <si>
    <t>Objektsavgift (kr/enhet)</t>
  </si>
  <si>
    <t>Sotning eller rensning av nedan nämnt objekt jämte tillhörande rökkanal och förbindelsekanal eller bikanal.</t>
  </si>
  <si>
    <t>Värmepanna med normaleffekt högst 50 Mcal/h (ca 60kW)</t>
  </si>
  <si>
    <t>a) eldad uteslutande med olja</t>
  </si>
  <si>
    <t>c) eldad helt eller delvis med fast bränsle</t>
  </si>
  <si>
    <t>Tilläggsavgift</t>
  </si>
  <si>
    <t>Förbindelsekanal eller bikanal av lägst 1,0 m längd</t>
  </si>
  <si>
    <t>1) 1,0-2,5 m</t>
  </si>
  <si>
    <t>2) 2,6-5,0 m</t>
  </si>
  <si>
    <t>3) Mer än 5,0 m; timersättning uttas enligt 4.5.</t>
  </si>
  <si>
    <t>2.1</t>
  </si>
  <si>
    <t>Inställelseavgift</t>
  </si>
  <si>
    <t xml:space="preserve">Avgift enligt 2.2.1 inkluderar ersättning för inställelse för arbetets utförande vid objekt belägna inom en radie av 10 km från arbetslokalerna. </t>
  </si>
  <si>
    <t>För avlägsnare belägna objekt uttas tilläggsersättning för den proportionella delen av den tillkommande transporttiden per man och timme med pris, som anges i 4.5.</t>
  </si>
  <si>
    <t>Sotning av värmepanna jämte tillhörande rökkanal och förbindelsekanal. För den till rökkanalen anslutna största sotade värmepannan uttas ersättning enligt kolumn a och för var och en av de övriga sotade värmepannorna enligt kolumn b.</t>
  </si>
  <si>
    <t>Normal-
effekt
Mcal/h</t>
  </si>
  <si>
    <t>(ca KW)</t>
  </si>
  <si>
    <t>kolumn a</t>
  </si>
  <si>
    <t>kolumn b</t>
  </si>
  <si>
    <t xml:space="preserve">        (- 60)</t>
  </si>
  <si>
    <t>enligt
1.1 och 1.2</t>
  </si>
  <si>
    <t xml:space="preserve">  51 - 100</t>
  </si>
  <si>
    <t>(61 - 120)</t>
  </si>
  <si>
    <t>101 - 150</t>
  </si>
  <si>
    <t>(121 - 180)</t>
  </si>
  <si>
    <t>151 - 200</t>
  </si>
  <si>
    <t>(181 - 240)</t>
  </si>
  <si>
    <t>201 - 250</t>
  </si>
  <si>
    <t>(241 - 300)</t>
  </si>
  <si>
    <t>251 - 300</t>
  </si>
  <si>
    <t>(301 - 360)</t>
  </si>
  <si>
    <t>För sotning eller rensning av annat än under 1. och 2.2.1 angivet objekt uttas ersättning per man och timme med pris, som anges i 4.5. Parterna må träffa överenskommelse om fast pris beräknat efter tidsåtgång.</t>
  </si>
  <si>
    <t>2.3</t>
  </si>
  <si>
    <t>Kronor exkl. moms</t>
  </si>
  <si>
    <t>Separat rökkanal till sidopanna</t>
  </si>
  <si>
    <t>Stoftavskiljare, rökgasfläkt, längre förbindelsekanal till objekt enligt 2.2.1; timersättning uttas enligt 4.5. Parterna må träffa överenskommelse om fast pris beräknat efter tidsåtgång.</t>
  </si>
  <si>
    <t>3.</t>
  </si>
  <si>
    <t>Undersökningsarbeten m m</t>
  </si>
  <si>
    <t>För undersökningsarbete, annat beställt arbete och utbränning uttas ersättning per man och timme med pris, som anges i 4.5 samt transportersättning enligt 4.3.</t>
  </si>
  <si>
    <t>4.</t>
  </si>
  <si>
    <t>Särskilda bestämmelser</t>
  </si>
  <si>
    <t>Om vid utförande av arbete enligt 1.2., 1.3. och 2.2.1 undantagsförhållande föreligger genom avvikelse av nedan nämnt slag, uttas ersättning per man och timme med pris, som anges i 4.5.</t>
  </si>
  <si>
    <t>a) sådan placering av objektet att rensluckor är svåråtkomliga (jfr åtkomlighetsregler i SBN).</t>
  </si>
  <si>
    <t>b) anordningar och konstruktionsdetaljer hindrar eller avsevärt försvårar användning av standardverktyg.</t>
  </si>
  <si>
    <t>c) för sotningens genomförande erforderlig demontering och montering av luckor och andra detaljer orsakar merarbete i sådan omfattning att tidsåtgången härför uppgår till eller övertiger i 4.5. angiven debiteringsperiod.</t>
  </si>
  <si>
    <t>d) blockering av rensluckor eller av utrymme med renslucka.</t>
  </si>
  <si>
    <t>e) användning av mer än vanligt sotbildande bränsle, förekomsten av svårborttagbara blanksotbeläggningar eller av större sotmängd än normalt på grund av anläggningsfel.</t>
  </si>
  <si>
    <t>f) fastsättning av arbetsredskap i kanal e.d.</t>
  </si>
  <si>
    <t>För hämtning av lös väggstege, som ej förvaras omedelbart intill uppstigningsställe, uttas tilläggsavgift med</t>
  </si>
  <si>
    <t>dock att tilläggsersättning beräknas som timersättning enligt 4.5, därest tidsåtgången uppgår till eller överstiger däri angiven debiteringsperiod.</t>
  </si>
  <si>
    <t xml:space="preserve">För extra inställelse, då fastighetsägaren eller nyttjaren av rensningspliktigt objekt utan giltigt skäl hindrat arbetets utförande på härför tillkännagiven tidpunkt, </t>
  </si>
  <si>
    <t>uttas för återbesök ersättning per man och timme med pris som anges i 4.5. samt transportersättning. Härjämte uttas ersättning för den ordinarie inställelsen enl. 1.1 eller 2 samt en administrationsavgift av</t>
  </si>
  <si>
    <t>Transportersättning för bil beräknas som kilometerersättning med det belopp per påbörjad km av avståndet fram och åter till förrättningsplatsen som vid tillfället gäller för befattningshavare i kommunens tjänst enligt härför centralt utfärdad anvisning.</t>
  </si>
  <si>
    <t>Vid beräkningen tillämpas reglerna för mindre bil och lägsta årliga körlängd. För annat transportmedel än bil uttas ersättning med den verkliga kostnaden.</t>
  </si>
  <si>
    <t>För arbete, som utförs utom ordinarie arbetstid, orsakat av att objektet inte är tillgängligt under ordinarie arbetstid, uttas ersättning per man och timme med pris som anges i 4.5 samt tillägg motsvarande de merkostnader som arbetet föranleder.</t>
  </si>
  <si>
    <t>Timersättning utgår med</t>
  </si>
  <si>
    <t xml:space="preserve">innefattande även ersättning för erforderlig arbetsledning. För arbete under ordinarie arbetstid räknas påbörjad kvartstimme som hel kvartstimme. För övertidsarbete räknas påbörjad halvtimme som hel halvtimme. </t>
  </si>
  <si>
    <t>I övertid inräknas eventuell avtalsenlig väntetid samt tid för bad och omklädsel, därest denna utgår särskilt för övertidsarbetet.</t>
  </si>
  <si>
    <t>Vid beräkning av arbetstidens längd inräknas förflyttningtiden till och från arbetsplatsen.</t>
  </si>
  <si>
    <t>Antal invånare inom sotningsdistriktet</t>
  </si>
  <si>
    <t>Baserat på timpris</t>
  </si>
  <si>
    <t>Faktor</t>
  </si>
  <si>
    <t>-</t>
  </si>
  <si>
    <t>För varje påbörjad latitud 
av 10 000-tal invånare per sotningsdistrikt utöver 69 999</t>
  </si>
  <si>
    <t>Kommun/Distrikt</t>
  </si>
  <si>
    <t>Datum</t>
  </si>
  <si>
    <t>Klockan</t>
  </si>
  <si>
    <t>Utförd av</t>
  </si>
  <si>
    <t>Fördelning av kostnaderna i timpriset</t>
  </si>
  <si>
    <t>Helårsbebott</t>
  </si>
  <si>
    <t>Lönerelaterade kostnader</t>
  </si>
  <si>
    <t>Övriga kostnader uppräkans med KPI</t>
  </si>
  <si>
    <t>Årsarvoden enligt central överenskommelse 
1997-06-01 (Används
för beräkning av faktorer)</t>
  </si>
  <si>
    <t>Ingångsvärden för denna beräkning</t>
  </si>
  <si>
    <t>Folkmängd</t>
  </si>
  <si>
    <t>Kommun</t>
  </si>
  <si>
    <t>Årsarvode</t>
  </si>
  <si>
    <t>Arvode
 = Faktor * Timpris</t>
  </si>
  <si>
    <t>Intervall</t>
  </si>
  <si>
    <t>Inter-vall</t>
  </si>
  <si>
    <t>Kommuninvånare, antal</t>
  </si>
  <si>
    <t>Nytt värde ?</t>
  </si>
  <si>
    <t>minuter</t>
  </si>
  <si>
    <t>b) miljögodkänd för olja</t>
  </si>
  <si>
    <t>d) miljögodkänd för fast bränsle</t>
  </si>
  <si>
    <t>Braskamin</t>
  </si>
  <si>
    <t xml:space="preserve">SOTNINGSTAXA </t>
  </si>
  <si>
    <t>Sotningsindex</t>
  </si>
  <si>
    <t>Objektspriser vid nedan angivet timpris avrundas till</t>
  </si>
  <si>
    <t>närmast hela krona</t>
  </si>
  <si>
    <t>Numrering enligt sotningstaxan.</t>
  </si>
  <si>
    <t>Fr o m</t>
  </si>
  <si>
    <t>kr/tim</t>
  </si>
  <si>
    <t>Minutpris</t>
  </si>
  <si>
    <t>kr</t>
  </si>
  <si>
    <t>Objektstid</t>
  </si>
  <si>
    <t>Pris</t>
  </si>
  <si>
    <t xml:space="preserve">1.1 </t>
  </si>
  <si>
    <t xml:space="preserve">1.1.1 </t>
  </si>
  <si>
    <t xml:space="preserve">1.1.2 </t>
  </si>
  <si>
    <t>Fritidsbostad</t>
  </si>
  <si>
    <t xml:space="preserve">1.2 </t>
  </si>
  <si>
    <t xml:space="preserve">1.2.1.1 </t>
  </si>
  <si>
    <t>Miljögodkänd</t>
  </si>
  <si>
    <t xml:space="preserve">1.2.1.2 </t>
  </si>
  <si>
    <t xml:space="preserve">1.2.2.1  </t>
  </si>
  <si>
    <t xml:space="preserve">1.2.3.1  </t>
  </si>
  <si>
    <t xml:space="preserve">1.3 </t>
  </si>
  <si>
    <t xml:space="preserve">1.3.1.1  </t>
  </si>
  <si>
    <t xml:space="preserve">1.3.1.2  </t>
  </si>
  <si>
    <t>Förbindelsekanal 2,6-5,0 m</t>
  </si>
  <si>
    <t>Värmepanna    - 50 Mcal/h</t>
  </si>
  <si>
    <t>Enl 1.1-2</t>
  </si>
  <si>
    <t xml:space="preserve">2.2 </t>
  </si>
  <si>
    <t>Sidopanna      - 50 Mcal/h</t>
  </si>
  <si>
    <t xml:space="preserve">2.3.1  </t>
  </si>
  <si>
    <t xml:space="preserve">4.2    </t>
  </si>
  <si>
    <t xml:space="preserve">4.3    </t>
  </si>
  <si>
    <t>Administrationsavg</t>
  </si>
  <si>
    <t>Kommentar</t>
  </si>
  <si>
    <t>Timpris, gällande taxa (ej avrundat)</t>
  </si>
  <si>
    <t>Ingångsvärde gällande taxa</t>
  </si>
  <si>
    <t>införs fr o m</t>
  </si>
  <si>
    <t>gäller t o m</t>
  </si>
  <si>
    <t>Nytt  årsarvode</t>
  </si>
  <si>
    <t>Nytt timpris</t>
  </si>
  <si>
    <t>Nu gällande</t>
  </si>
  <si>
    <t>T o m</t>
  </si>
  <si>
    <t>Beräknad för taxa (ej avrundat)</t>
  </si>
  <si>
    <t xml:space="preserve">För utförande av enligt lagen om skydd mot olyckor föreskrivet sotnings- och rengöringsarbete, undersökningsarbete </t>
  </si>
  <si>
    <t xml:space="preserve">I angivna ersättningar ingår kostnaden för konventionell teknisk utrustning. För användande av speciell teknisk utrustning, exempelvis sotsugare och tvättaggregat, utgår tilläggsersättning enligt överenskommelse med den betalande. </t>
  </si>
  <si>
    <t xml:space="preserve">Kommunala årsarvoden till skorstensfejarmästaren </t>
  </si>
  <si>
    <t>Inställelsetid</t>
  </si>
  <si>
    <t>Fastboende</t>
  </si>
  <si>
    <t>Fritidsboende</t>
  </si>
  <si>
    <t>Torgny Sundberg</t>
  </si>
  <si>
    <t>Trosa</t>
  </si>
  <si>
    <t>Beräkning av sotningstaxa 2023</t>
  </si>
  <si>
    <t>Sotningsindex 1 april 6,59 %</t>
  </si>
</sst>
</file>

<file path=xl/styles.xml><?xml version="1.0" encoding="utf-8"?>
<styleSheet xmlns="http://schemas.openxmlformats.org/spreadsheetml/2006/main">
  <numFmts count="3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_-* #,##0.0\ _k_r_-;\-* #,##0.0\ _k_r_-;_-* &quot;-&quot;??\ _k_r_-;_-@_-"/>
    <numFmt numFmtId="167" formatCode="_-* #,##0\ _k_r_-;\-* #,##0\ _k_r_-;_-* &quot;-&quot;??\ _k_r_-;_-@_-"/>
    <numFmt numFmtId="168" formatCode="0.0%"/>
    <numFmt numFmtId="169" formatCode="0.0000"/>
    <numFmt numFmtId="170" formatCode="0.000"/>
    <numFmt numFmtId="171" formatCode="0.0"/>
    <numFmt numFmtId="172" formatCode="yy/mm/dd"/>
    <numFmt numFmtId="173" formatCode="0.00000"/>
    <numFmt numFmtId="174" formatCode="_-* #,##0.0\ &quot;kr&quot;_-;\-* #,##0.0\ &quot;kr&quot;_-;_-* &quot;-&quot;??\ &quot;kr&quot;_-;_-@_-"/>
    <numFmt numFmtId="175" formatCode="_-* #,##0\ &quot;kr&quot;_-;\-* #,##0\ &quot;kr&quot;_-;_-* &quot;-&quot;??\ &quot;kr&quot;_-;_-@_-"/>
    <numFmt numFmtId="176" formatCode="_-* #,##0.000\ &quot;kr&quot;_-;\-* #,##0.000\ &quot;kr&quot;_-;_-* &quot;-&quot;??\ &quot;kr&quot;_-;_-@_-"/>
    <numFmt numFmtId="177" formatCode="_-* #,##0.0000\ &quot;kr&quot;_-;\-* #,##0.0000\ &quot;kr&quot;_-;_-* &quot;-&quot;??\ &quot;kr&quot;_-;_-@_-"/>
    <numFmt numFmtId="178" formatCode="#,##0.00\ &quot;kr&quot;"/>
    <numFmt numFmtId="179" formatCode="0.00;&quot; min&quot;@"/>
    <numFmt numFmtId="180" formatCode="0.00;@&quot; min&quot;"/>
    <numFmt numFmtId="181" formatCode="#,##0_ ;\-#,##0\ "/>
    <numFmt numFmtId="182" formatCode="0.00000000"/>
    <numFmt numFmtId="183" formatCode="0.0000000"/>
    <numFmt numFmtId="184" formatCode="0.000000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%"/>
    <numFmt numFmtId="191" formatCode="[$-41D]&quot;den &quot;d\ mmmm\ yyyy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24"/>
      <name val="Arial"/>
      <family val="2"/>
    </font>
    <font>
      <sz val="8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1" fillId="0" borderId="10" xfId="0" applyFont="1" applyBorder="1" applyAlignment="1" applyProtection="1">
      <alignment/>
      <protection hidden="1"/>
    </xf>
    <xf numFmtId="0" fontId="5" fillId="33" borderId="0" xfId="0" applyFont="1" applyFill="1" applyAlignment="1" applyProtection="1">
      <alignment vertical="center"/>
      <protection hidden="1"/>
    </xf>
    <xf numFmtId="0" fontId="5" fillId="33" borderId="0" xfId="0" applyFont="1" applyFill="1" applyAlignment="1" applyProtection="1">
      <alignment horizontal="left" vertical="center"/>
      <protection hidden="1"/>
    </xf>
    <xf numFmtId="0" fontId="5" fillId="33" borderId="0" xfId="0" applyFont="1" applyFill="1" applyAlignment="1" applyProtection="1">
      <alignment vertical="center" wrapText="1"/>
      <protection hidden="1"/>
    </xf>
    <xf numFmtId="0" fontId="5" fillId="0" borderId="0" xfId="0" applyFont="1" applyAlignment="1" applyProtection="1">
      <alignment/>
      <protection hidden="1"/>
    </xf>
    <xf numFmtId="14" fontId="6" fillId="33" borderId="0" xfId="0" applyNumberFormat="1" applyFont="1" applyFill="1" applyAlignment="1" applyProtection="1">
      <alignment vertical="center"/>
      <protection hidden="1"/>
    </xf>
    <xf numFmtId="0" fontId="6" fillId="33" borderId="0" xfId="0" applyFont="1" applyFill="1" applyAlignment="1" applyProtection="1" quotePrefix="1">
      <alignment horizontal="center" vertical="center"/>
      <protection hidden="1"/>
    </xf>
    <xf numFmtId="14" fontId="5" fillId="33" borderId="0" xfId="0" applyNumberFormat="1" applyFont="1" applyFill="1" applyAlignment="1" applyProtection="1">
      <alignment horizontal="righ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7" fillId="33" borderId="11" xfId="0" applyFont="1" applyFill="1" applyBorder="1" applyAlignment="1" applyProtection="1">
      <alignment/>
      <protection hidden="1"/>
    </xf>
    <xf numFmtId="0" fontId="7" fillId="33" borderId="12" xfId="0" applyFont="1" applyFill="1" applyBorder="1" applyAlignment="1" applyProtection="1">
      <alignment horizontal="left" vertical="top"/>
      <protection hidden="1"/>
    </xf>
    <xf numFmtId="0" fontId="7" fillId="33" borderId="12" xfId="0" applyFont="1" applyFill="1" applyBorder="1" applyAlignment="1" applyProtection="1">
      <alignment vertical="top" wrapText="1"/>
      <protection hidden="1"/>
    </xf>
    <xf numFmtId="0" fontId="7" fillId="33" borderId="12" xfId="0" applyFont="1" applyFill="1" applyBorder="1" applyAlignment="1" applyProtection="1">
      <alignment/>
      <protection hidden="1"/>
    </xf>
    <xf numFmtId="0" fontId="7" fillId="33" borderId="12" xfId="0" applyFont="1" applyFill="1" applyBorder="1" applyAlignment="1" applyProtection="1">
      <alignment vertical="top"/>
      <protection hidden="1"/>
    </xf>
    <xf numFmtId="0" fontId="7" fillId="33" borderId="13" xfId="0" applyFont="1" applyFill="1" applyBorder="1" applyAlignment="1" applyProtection="1">
      <alignment vertical="top"/>
      <protection hidden="1"/>
    </xf>
    <xf numFmtId="0" fontId="7" fillId="0" borderId="0" xfId="0" applyFont="1" applyAlignment="1" applyProtection="1">
      <alignment/>
      <protection hidden="1"/>
    </xf>
    <xf numFmtId="0" fontId="8" fillId="33" borderId="14" xfId="0" applyFont="1" applyFill="1" applyBorder="1" applyAlignment="1" applyProtection="1">
      <alignment horizontal="left" vertical="top"/>
      <protection hidden="1"/>
    </xf>
    <xf numFmtId="0" fontId="8" fillId="33" borderId="14" xfId="0" applyFont="1" applyFill="1" applyBorder="1" applyAlignment="1" applyProtection="1">
      <alignment vertical="top" wrapText="1"/>
      <protection hidden="1"/>
    </xf>
    <xf numFmtId="0" fontId="8" fillId="33" borderId="14" xfId="0" applyFont="1" applyFill="1" applyBorder="1" applyAlignment="1" applyProtection="1">
      <alignment/>
      <protection hidden="1"/>
    </xf>
    <xf numFmtId="0" fontId="8" fillId="33" borderId="14" xfId="0" applyFont="1" applyFill="1" applyBorder="1" applyAlignment="1" applyProtection="1">
      <alignment vertical="top"/>
      <protection hidden="1"/>
    </xf>
    <xf numFmtId="0" fontId="8" fillId="33" borderId="15" xfId="0" applyFont="1" applyFill="1" applyBorder="1" applyAlignment="1" applyProtection="1">
      <alignment vertical="top"/>
      <protection hidden="1"/>
    </xf>
    <xf numFmtId="0" fontId="8" fillId="0" borderId="0" xfId="0" applyFont="1" applyAlignment="1" applyProtection="1">
      <alignment/>
      <protection hidden="1"/>
    </xf>
    <xf numFmtId="0" fontId="7" fillId="33" borderId="0" xfId="0" applyFont="1" applyFill="1" applyAlignment="1" applyProtection="1">
      <alignment/>
      <protection hidden="1"/>
    </xf>
    <xf numFmtId="0" fontId="7" fillId="33" borderId="0" xfId="0" applyFont="1" applyFill="1" applyAlignment="1" applyProtection="1">
      <alignment horizontal="left" vertical="top"/>
      <protection hidden="1"/>
    </xf>
    <xf numFmtId="0" fontId="7" fillId="33" borderId="0" xfId="0" applyFont="1" applyFill="1" applyAlignment="1" applyProtection="1">
      <alignment vertical="top" wrapText="1"/>
      <protection hidden="1"/>
    </xf>
    <xf numFmtId="0" fontId="7" fillId="33" borderId="0" xfId="0" applyFont="1" applyFill="1" applyAlignment="1" applyProtection="1">
      <alignment vertical="top"/>
      <protection hidden="1"/>
    </xf>
    <xf numFmtId="0" fontId="9" fillId="33" borderId="0" xfId="0" applyFont="1" applyFill="1" applyAlignment="1" applyProtection="1">
      <alignment/>
      <protection hidden="1"/>
    </xf>
    <xf numFmtId="0" fontId="9" fillId="33" borderId="0" xfId="0" applyFont="1" applyFill="1" applyAlignment="1" applyProtection="1">
      <alignment wrapText="1"/>
      <protection hidden="1"/>
    </xf>
    <xf numFmtId="0" fontId="0" fillId="33" borderId="0" xfId="0" applyFill="1" applyAlignment="1" applyProtection="1">
      <alignment/>
      <protection hidden="1"/>
    </xf>
    <xf numFmtId="0" fontId="7" fillId="33" borderId="16" xfId="0" applyFont="1" applyFill="1" applyBorder="1" applyAlignment="1" applyProtection="1">
      <alignment horizontal="centerContinuous" vertical="top" wrapText="1"/>
      <protection hidden="1"/>
    </xf>
    <xf numFmtId="0" fontId="7" fillId="33" borderId="17" xfId="0" applyFont="1" applyFill="1" applyBorder="1" applyAlignment="1" applyProtection="1">
      <alignment horizontal="centerContinuous" vertical="top"/>
      <protection hidden="1"/>
    </xf>
    <xf numFmtId="0" fontId="9" fillId="33" borderId="0" xfId="0" applyFont="1" applyFill="1" applyAlignment="1" applyProtection="1">
      <alignment horizontal="left" vertical="top"/>
      <protection hidden="1"/>
    </xf>
    <xf numFmtId="0" fontId="9" fillId="33" borderId="0" xfId="0" applyFont="1" applyFill="1" applyAlignment="1" applyProtection="1">
      <alignment vertical="top" wrapText="1"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7" fillId="33" borderId="11" xfId="0" applyFont="1" applyFill="1" applyBorder="1" applyAlignment="1" applyProtection="1">
      <alignment vertical="top"/>
      <protection hidden="1"/>
    </xf>
    <xf numFmtId="0" fontId="7" fillId="33" borderId="10" xfId="0" applyFont="1" applyFill="1" applyBorder="1" applyAlignment="1" applyProtection="1">
      <alignment vertical="top"/>
      <protection hidden="1"/>
    </xf>
    <xf numFmtId="0" fontId="7" fillId="33" borderId="18" xfId="0" applyFont="1" applyFill="1" applyBorder="1" applyAlignment="1" applyProtection="1">
      <alignment vertical="top"/>
      <protection hidden="1"/>
    </xf>
    <xf numFmtId="44" fontId="7" fillId="33" borderId="10" xfId="0" applyNumberFormat="1" applyFont="1" applyFill="1" applyBorder="1" applyAlignment="1" applyProtection="1">
      <alignment vertical="top"/>
      <protection hidden="1"/>
    </xf>
    <xf numFmtId="2" fontId="7" fillId="33" borderId="10" xfId="0" applyNumberFormat="1" applyFont="1" applyFill="1" applyBorder="1" applyAlignment="1" applyProtection="1">
      <alignment vertical="top"/>
      <protection hidden="1"/>
    </xf>
    <xf numFmtId="0" fontId="7" fillId="33" borderId="0" xfId="0" applyFont="1" applyFill="1" applyBorder="1" applyAlignment="1" applyProtection="1">
      <alignment wrapText="1"/>
      <protection hidden="1"/>
    </xf>
    <xf numFmtId="0" fontId="7" fillId="33" borderId="18" xfId="0" applyFont="1" applyFill="1" applyBorder="1" applyAlignment="1" applyProtection="1">
      <alignment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7" fillId="33" borderId="18" xfId="0" applyFont="1" applyFill="1" applyBorder="1" applyAlignment="1" applyProtection="1">
      <alignment horizontal="center"/>
      <protection hidden="1"/>
    </xf>
    <xf numFmtId="0" fontId="7" fillId="33" borderId="0" xfId="0" applyFont="1" applyFill="1" applyBorder="1" applyAlignment="1" applyProtection="1">
      <alignment horizontal="right"/>
      <protection hidden="1"/>
    </xf>
    <xf numFmtId="2" fontId="7" fillId="33" borderId="10" xfId="0" applyNumberFormat="1" applyFont="1" applyFill="1" applyBorder="1" applyAlignment="1" applyProtection="1">
      <alignment horizontal="centerContinuous" wrapText="1"/>
      <protection hidden="1"/>
    </xf>
    <xf numFmtId="2" fontId="7" fillId="33" borderId="18" xfId="0" applyNumberFormat="1" applyFont="1" applyFill="1" applyBorder="1" applyAlignment="1" applyProtection="1">
      <alignment/>
      <protection hidden="1"/>
    </xf>
    <xf numFmtId="2" fontId="7" fillId="33" borderId="10" xfId="0" applyNumberFormat="1" applyFont="1" applyFill="1" applyBorder="1" applyAlignment="1" applyProtection="1">
      <alignment/>
      <protection hidden="1"/>
    </xf>
    <xf numFmtId="3" fontId="7" fillId="33" borderId="0" xfId="0" applyNumberFormat="1" applyFont="1" applyFill="1" applyBorder="1" applyAlignment="1" applyProtection="1">
      <alignment horizontal="right"/>
      <protection hidden="1"/>
    </xf>
    <xf numFmtId="0" fontId="7" fillId="33" borderId="19" xfId="0" applyFont="1" applyFill="1" applyBorder="1" applyAlignment="1" applyProtection="1">
      <alignment vertical="top"/>
      <protection hidden="1"/>
    </xf>
    <xf numFmtId="0" fontId="7" fillId="33" borderId="15" xfId="0" applyFont="1" applyFill="1" applyBorder="1" applyAlignment="1" applyProtection="1">
      <alignment vertical="top"/>
      <protection hidden="1"/>
    </xf>
    <xf numFmtId="0" fontId="7" fillId="33" borderId="16" xfId="0" applyFont="1" applyFill="1" applyBorder="1" applyAlignment="1" applyProtection="1">
      <alignment horizontal="centerContinuous" vertical="top"/>
      <protection hidden="1"/>
    </xf>
    <xf numFmtId="0" fontId="7" fillId="0" borderId="0" xfId="0" applyFont="1" applyAlignment="1" applyProtection="1">
      <alignment horizontal="left" vertical="top"/>
      <protection hidden="1"/>
    </xf>
    <xf numFmtId="0" fontId="7" fillId="0" borderId="0" xfId="0" applyFont="1" applyAlignment="1" applyProtection="1">
      <alignment vertical="top" wrapText="1"/>
      <protection hidden="1"/>
    </xf>
    <xf numFmtId="0" fontId="7" fillId="0" borderId="0" xfId="0" applyFont="1" applyFill="1" applyAlignment="1" applyProtection="1">
      <alignment vertical="top"/>
      <protection hidden="1"/>
    </xf>
    <xf numFmtId="0" fontId="6" fillId="0" borderId="0" xfId="0" applyFont="1" applyAlignment="1" applyProtection="1">
      <alignment/>
      <protection hidden="1"/>
    </xf>
    <xf numFmtId="0" fontId="0" fillId="0" borderId="16" xfId="0" applyFont="1" applyBorder="1" applyAlignment="1" applyProtection="1">
      <alignment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21" xfId="0" applyFill="1" applyBorder="1" applyAlignment="1" applyProtection="1">
      <alignment vertical="center" wrapText="1"/>
      <protection hidden="1"/>
    </xf>
    <xf numFmtId="2" fontId="0" fillId="34" borderId="21" xfId="0" applyNumberFormat="1" applyFill="1" applyBorder="1" applyAlignment="1" applyProtection="1">
      <alignment horizontal="centerContinuous" vertical="center" wrapText="1"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20" xfId="0" applyFont="1" applyBorder="1" applyAlignment="1" applyProtection="1">
      <alignment/>
      <protection hidden="1"/>
    </xf>
    <xf numFmtId="165" fontId="1" fillId="0" borderId="22" xfId="57" applyFont="1" applyFill="1" applyBorder="1" applyAlignment="1" applyProtection="1">
      <alignment wrapText="1"/>
      <protection hidden="1"/>
    </xf>
    <xf numFmtId="165" fontId="1" fillId="34" borderId="22" xfId="57" applyFont="1" applyFill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0" fontId="0" fillId="0" borderId="21" xfId="0" applyFill="1" applyBorder="1" applyAlignment="1" applyProtection="1">
      <alignment/>
      <protection hidden="1"/>
    </xf>
    <xf numFmtId="0" fontId="1" fillId="0" borderId="21" xfId="0" applyFont="1" applyFill="1" applyBorder="1" applyAlignment="1" applyProtection="1">
      <alignment/>
      <protection hidden="1"/>
    </xf>
    <xf numFmtId="167" fontId="0" fillId="0" borderId="10" xfId="57" applyNumberFormat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167" fontId="0" fillId="0" borderId="0" xfId="57" applyNumberFormat="1" applyBorder="1" applyAlignment="1" applyProtection="1">
      <alignment/>
      <protection hidden="1"/>
    </xf>
    <xf numFmtId="167" fontId="0" fillId="0" borderId="23" xfId="57" applyNumberFormat="1" applyFill="1" applyBorder="1" applyAlignment="1" applyProtection="1">
      <alignment/>
      <protection hidden="1"/>
    </xf>
    <xf numFmtId="167" fontId="0" fillId="0" borderId="24" xfId="57" applyNumberForma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14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6" fillId="33" borderId="19" xfId="0" applyFont="1" applyFill="1" applyBorder="1" applyAlignment="1" applyProtection="1">
      <alignment/>
      <protection hidden="1"/>
    </xf>
    <xf numFmtId="14" fontId="8" fillId="35" borderId="22" xfId="0" applyNumberFormat="1" applyFont="1" applyFill="1" applyBorder="1" applyAlignment="1" applyProtection="1">
      <alignment/>
      <protection locked="0"/>
    </xf>
    <xf numFmtId="20" fontId="8" fillId="35" borderId="22" xfId="0" applyNumberFormat="1" applyFont="1" applyFill="1" applyBorder="1" applyAlignment="1" applyProtection="1">
      <alignment/>
      <protection locked="0"/>
    </xf>
    <xf numFmtId="44" fontId="8" fillId="35" borderId="22" xfId="60" applyNumberFormat="1" applyFont="1" applyFill="1" applyBorder="1" applyAlignment="1" applyProtection="1">
      <alignment/>
      <protection locked="0"/>
    </xf>
    <xf numFmtId="44" fontId="0" fillId="0" borderId="0" xfId="0" applyNumberFormat="1" applyAlignment="1">
      <alignment/>
    </xf>
    <xf numFmtId="181" fontId="0" fillId="0" borderId="0" xfId="57" applyNumberFormat="1" applyFont="1" applyAlignment="1" applyProtection="1">
      <alignment/>
      <protection hidden="1"/>
    </xf>
    <xf numFmtId="175" fontId="0" fillId="0" borderId="0" xfId="60" applyNumberFormat="1" applyFont="1" applyAlignment="1" applyProtection="1">
      <alignment/>
      <protection hidden="1"/>
    </xf>
    <xf numFmtId="0" fontId="0" fillId="0" borderId="21" xfId="0" applyFill="1" applyBorder="1" applyAlignment="1" applyProtection="1">
      <alignment horizontal="center" vertical="center" wrapText="1"/>
      <protection hidden="1"/>
    </xf>
    <xf numFmtId="3" fontId="8" fillId="35" borderId="22" xfId="50" applyNumberFormat="1" applyFont="1" applyFill="1" applyBorder="1" applyAlignment="1" applyProtection="1">
      <alignment/>
      <protection locked="0"/>
    </xf>
    <xf numFmtId="175" fontId="0" fillId="34" borderId="0" xfId="60" applyNumberFormat="1" applyFont="1" applyFill="1" applyAlignment="1" applyProtection="1">
      <alignment/>
      <protection hidden="1"/>
    </xf>
    <xf numFmtId="181" fontId="0" fillId="34" borderId="0" xfId="57" applyNumberFormat="1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10" fontId="1" fillId="0" borderId="21" xfId="50" applyNumberFormat="1" applyFont="1" applyFill="1" applyBorder="1" applyAlignment="1" applyProtection="1">
      <alignment wrapText="1"/>
      <protection hidden="1"/>
    </xf>
    <xf numFmtId="1" fontId="0" fillId="0" borderId="24" xfId="57" applyNumberFormat="1" applyFill="1" applyBorder="1" applyAlignment="1" applyProtection="1">
      <alignment vertical="center"/>
      <protection hidden="1"/>
    </xf>
    <xf numFmtId="0" fontId="0" fillId="0" borderId="0" xfId="0" applyFont="1" applyAlignment="1">
      <alignment/>
    </xf>
    <xf numFmtId="2" fontId="7" fillId="33" borderId="0" xfId="0" applyNumberFormat="1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2" fontId="1" fillId="0" borderId="21" xfId="0" applyNumberFormat="1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2" fontId="0" fillId="35" borderId="23" xfId="0" applyNumberFormat="1" applyFont="1" applyFill="1" applyBorder="1" applyAlignment="1" applyProtection="1">
      <alignment/>
      <protection locked="0"/>
    </xf>
    <xf numFmtId="2" fontId="0" fillId="0" borderId="18" xfId="0" applyNumberFormat="1" applyFont="1" applyBorder="1" applyAlignment="1" applyProtection="1">
      <alignment/>
      <protection hidden="1"/>
    </xf>
    <xf numFmtId="2" fontId="0" fillId="0" borderId="24" xfId="0" applyNumberFormat="1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/>
    </xf>
    <xf numFmtId="2" fontId="0" fillId="35" borderId="21" xfId="0" applyNumberFormat="1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2" fontId="0" fillId="0" borderId="12" xfId="0" applyNumberFormat="1" applyFont="1" applyFill="1" applyBorder="1" applyAlignment="1" applyProtection="1">
      <alignment/>
      <protection/>
    </xf>
    <xf numFmtId="2" fontId="0" fillId="0" borderId="13" xfId="0" applyNumberFormat="1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2" fontId="0" fillId="0" borderId="15" xfId="0" applyNumberFormat="1" applyFont="1" applyFill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2" fontId="0" fillId="35" borderId="24" xfId="0" applyNumberFormat="1" applyFont="1" applyFill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/>
    </xf>
    <xf numFmtId="2" fontId="1" fillId="0" borderId="14" xfId="0" applyNumberFormat="1" applyFont="1" applyBorder="1" applyAlignment="1" applyProtection="1">
      <alignment/>
      <protection/>
    </xf>
    <xf numFmtId="2" fontId="0" fillId="0" borderId="21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2" fontId="0" fillId="0" borderId="24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3" fontId="8" fillId="35" borderId="21" xfId="5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/>
    </xf>
    <xf numFmtId="0" fontId="0" fillId="0" borderId="16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2" fontId="0" fillId="35" borderId="22" xfId="0" applyNumberFormat="1" applyFont="1" applyFill="1" applyBorder="1" applyAlignment="1" applyProtection="1">
      <alignment/>
      <protection locked="0"/>
    </xf>
    <xf numFmtId="2" fontId="0" fillId="0" borderId="17" xfId="0" applyNumberFormat="1" applyFont="1" applyBorder="1" applyAlignment="1" applyProtection="1">
      <alignment/>
      <protection hidden="1"/>
    </xf>
    <xf numFmtId="10" fontId="8" fillId="0" borderId="0" xfId="50" applyNumberFormat="1" applyFont="1" applyFill="1" applyBorder="1" applyAlignment="1" applyProtection="1">
      <alignment/>
      <protection/>
    </xf>
    <xf numFmtId="3" fontId="8" fillId="0" borderId="0" xfId="50" applyNumberFormat="1" applyFont="1" applyFill="1" applyBorder="1" applyAlignment="1" applyProtection="1">
      <alignment/>
      <protection/>
    </xf>
    <xf numFmtId="2" fontId="0" fillId="0" borderId="0" xfId="0" applyNumberFormat="1" applyAlignment="1">
      <alignment/>
    </xf>
    <xf numFmtId="0" fontId="4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1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1" fontId="0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2" fontId="1" fillId="0" borderId="22" xfId="0" applyNumberFormat="1" applyFont="1" applyFill="1" applyBorder="1" applyAlignment="1" applyProtection="1">
      <alignment/>
      <protection hidden="1"/>
    </xf>
    <xf numFmtId="2" fontId="1" fillId="0" borderId="0" xfId="0" applyNumberFormat="1" applyFont="1" applyBorder="1" applyAlignment="1" applyProtection="1">
      <alignment horizontal="center"/>
      <protection hidden="1"/>
    </xf>
    <xf numFmtId="2" fontId="1" fillId="0" borderId="13" xfId="0" applyNumberFormat="1" applyFont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right"/>
      <protection/>
    </xf>
    <xf numFmtId="44" fontId="8" fillId="0" borderId="0" xfId="60" applyFont="1" applyBorder="1" applyAlignment="1" applyProtection="1">
      <alignment/>
      <protection hidden="1"/>
    </xf>
    <xf numFmtId="14" fontId="8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Alignment="1" applyProtection="1">
      <alignment/>
      <protection hidden="1"/>
    </xf>
    <xf numFmtId="14" fontId="0" fillId="0" borderId="0" xfId="0" applyNumberFormat="1" applyFont="1" applyAlignment="1" applyProtection="1">
      <alignment/>
      <protection hidden="1"/>
    </xf>
    <xf numFmtId="10" fontId="8" fillId="35" borderId="22" xfId="50" applyNumberFormat="1" applyFont="1" applyFill="1" applyBorder="1" applyAlignment="1" applyProtection="1">
      <alignment/>
      <protection hidden="1" locked="0"/>
    </xf>
    <xf numFmtId="14" fontId="1" fillId="0" borderId="0" xfId="0" applyNumberFormat="1" applyFont="1" applyFill="1" applyBorder="1" applyAlignment="1" applyProtection="1">
      <alignment/>
      <protection hidden="1"/>
    </xf>
    <xf numFmtId="0" fontId="7" fillId="0" borderId="10" xfId="0" applyFont="1" applyBorder="1" applyAlignment="1" applyProtection="1">
      <alignment/>
      <protection hidden="1"/>
    </xf>
    <xf numFmtId="0" fontId="7" fillId="0" borderId="18" xfId="0" applyFont="1" applyBorder="1" applyAlignment="1" applyProtection="1">
      <alignment/>
      <protection hidden="1"/>
    </xf>
    <xf numFmtId="44" fontId="8" fillId="0" borderId="0" xfId="60" applyNumberFormat="1" applyFont="1" applyFill="1" applyBorder="1" applyAlignment="1" applyProtection="1">
      <alignment/>
      <protection hidden="1"/>
    </xf>
    <xf numFmtId="44" fontId="8" fillId="34" borderId="22" xfId="60" applyNumberFormat="1" applyFont="1" applyFill="1" applyBorder="1" applyAlignment="1" applyProtection="1">
      <alignment/>
      <protection hidden="1"/>
    </xf>
    <xf numFmtId="2" fontId="0" fillId="0" borderId="12" xfId="0" applyNumberFormat="1" applyFont="1" applyBorder="1" applyAlignment="1" applyProtection="1">
      <alignment/>
      <protection/>
    </xf>
    <xf numFmtId="2" fontId="0" fillId="0" borderId="13" xfId="0" applyNumberFormat="1" applyFont="1" applyBorder="1" applyAlignment="1" applyProtection="1">
      <alignment/>
      <protection/>
    </xf>
    <xf numFmtId="0" fontId="1" fillId="0" borderId="19" xfId="0" applyFont="1" applyBorder="1" applyAlignment="1" applyProtection="1">
      <alignment horizontal="left"/>
      <protection/>
    </xf>
    <xf numFmtId="2" fontId="1" fillId="0" borderId="15" xfId="0" applyNumberFormat="1" applyFont="1" applyBorder="1" applyAlignment="1" applyProtection="1">
      <alignment/>
      <protection/>
    </xf>
    <xf numFmtId="10" fontId="1" fillId="34" borderId="22" xfId="0" applyNumberFormat="1" applyFont="1" applyFill="1" applyBorder="1" applyAlignment="1" applyProtection="1">
      <alignment horizontal="center"/>
      <protection hidden="1"/>
    </xf>
    <xf numFmtId="2" fontId="1" fillId="34" borderId="22" xfId="0" applyNumberFormat="1" applyFont="1" applyFill="1" applyBorder="1" applyAlignment="1" applyProtection="1">
      <alignment/>
      <protection hidden="1"/>
    </xf>
    <xf numFmtId="14" fontId="1" fillId="34" borderId="22" xfId="0" applyNumberFormat="1" applyFont="1" applyFill="1" applyBorder="1" applyAlignment="1" applyProtection="1">
      <alignment/>
      <protection hidden="1"/>
    </xf>
    <xf numFmtId="10" fontId="8" fillId="36" borderId="0" xfId="5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 horizontal="right"/>
    </xf>
    <xf numFmtId="2" fontId="8" fillId="37" borderId="22" xfId="50" applyNumberFormat="1" applyFont="1" applyFill="1" applyBorder="1" applyAlignment="1" applyProtection="1">
      <alignment/>
      <protection locked="0"/>
    </xf>
    <xf numFmtId="10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35" borderId="22" xfId="0" applyFont="1" applyFill="1" applyBorder="1" applyAlignment="1" applyProtection="1">
      <alignment/>
      <protection locked="0"/>
    </xf>
    <xf numFmtId="44" fontId="8" fillId="0" borderId="0" xfId="0" applyNumberFormat="1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44" fontId="8" fillId="0" borderId="0" xfId="60" applyFont="1" applyFill="1" applyBorder="1" applyAlignment="1" applyProtection="1">
      <alignment/>
      <protection hidden="1"/>
    </xf>
    <xf numFmtId="10" fontId="0" fillId="0" borderId="0" xfId="0" applyNumberFormat="1" applyFont="1" applyFill="1" applyBorder="1" applyAlignment="1">
      <alignment/>
    </xf>
    <xf numFmtId="44" fontId="8" fillId="0" borderId="0" xfId="60" applyFont="1" applyBorder="1" applyAlignment="1" applyProtection="1">
      <alignment/>
      <protection hidden="1"/>
    </xf>
    <xf numFmtId="0" fontId="4" fillId="34" borderId="16" xfId="0" applyFont="1" applyFill="1" applyBorder="1" applyAlignment="1" applyProtection="1">
      <alignment vertical="center"/>
      <protection hidden="1"/>
    </xf>
    <xf numFmtId="0" fontId="4" fillId="34" borderId="20" xfId="0" applyFont="1" applyFill="1" applyBorder="1" applyAlignment="1" applyProtection="1">
      <alignment vertical="center"/>
      <protection hidden="1"/>
    </xf>
    <xf numFmtId="0" fontId="4" fillId="34" borderId="17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wrapText="1"/>
      <protection hidden="1"/>
    </xf>
    <xf numFmtId="0" fontId="0" fillId="35" borderId="12" xfId="0" applyFont="1" applyFill="1" applyBorder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0" fontId="0" fillId="35" borderId="0" xfId="0" applyFont="1" applyFill="1" applyAlignment="1" applyProtection="1">
      <alignment wrapText="1"/>
      <protection locked="0"/>
    </xf>
    <xf numFmtId="0" fontId="0" fillId="0" borderId="19" xfId="0" applyBorder="1" applyAlignment="1" applyProtection="1">
      <alignment vertical="center" wrapText="1"/>
      <protection hidden="1"/>
    </xf>
    <xf numFmtId="0" fontId="0" fillId="0" borderId="14" xfId="0" applyBorder="1" applyAlignment="1" applyProtection="1">
      <alignment vertical="center" wrapText="1"/>
      <protection hidden="1"/>
    </xf>
    <xf numFmtId="0" fontId="0" fillId="0" borderId="15" xfId="0" applyBorder="1" applyAlignment="1" applyProtection="1">
      <alignment vertical="center" wrapText="1"/>
      <protection hidden="1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1"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85725</xdr:rowOff>
    </xdr:from>
    <xdr:to>
      <xdr:col>1</xdr:col>
      <xdr:colOff>962025</xdr:colOff>
      <xdr:row>4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85725"/>
          <a:ext cx="8572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30"/>
  <sheetViews>
    <sheetView showGridLines="0" showZeros="0" tabSelected="1" zoomScalePageLayoutView="0" workbookViewId="0" topLeftCell="A1">
      <selection activeCell="G30" sqref="G30"/>
    </sheetView>
  </sheetViews>
  <sheetFormatPr defaultColWidth="9.140625" defaultRowHeight="12.75"/>
  <cols>
    <col min="1" max="1" width="2.140625" style="78" customWidth="1"/>
    <col min="2" max="5" width="17.421875" style="78" customWidth="1"/>
    <col min="6" max="6" width="1.57421875" style="78" customWidth="1"/>
    <col min="7" max="7" width="17.00390625" style="78" customWidth="1"/>
    <col min="8" max="8" width="8.57421875" style="78" customWidth="1"/>
    <col min="9" max="9" width="15.421875" style="78" bestFit="1" customWidth="1"/>
    <col min="10" max="10" width="9.8515625" style="78" bestFit="1" customWidth="1"/>
    <col min="11" max="11" width="9.140625" style="78" customWidth="1"/>
    <col min="12" max="12" width="10.140625" style="78" bestFit="1" customWidth="1"/>
    <col min="13" max="16384" width="9.140625" style="78" customWidth="1"/>
  </cols>
  <sheetData>
    <row r="3" ht="30">
      <c r="C3" s="79" t="s">
        <v>165</v>
      </c>
    </row>
    <row r="6" spans="2:5" ht="15">
      <c r="B6" s="78" t="s">
        <v>92</v>
      </c>
      <c r="C6" s="193" t="s">
        <v>164</v>
      </c>
      <c r="D6" s="193"/>
      <c r="E6" s="193"/>
    </row>
    <row r="7" spans="3:5" s="85" customFormat="1" ht="6.75" customHeight="1">
      <c r="C7" s="84"/>
      <c r="D7" s="84"/>
      <c r="E7" s="84"/>
    </row>
    <row r="8" spans="2:5" ht="15">
      <c r="B8" s="78" t="s">
        <v>93</v>
      </c>
      <c r="C8" s="90">
        <v>45033</v>
      </c>
      <c r="D8" s="82" t="s">
        <v>94</v>
      </c>
      <c r="E8" s="91">
        <v>0.3263888888888889</v>
      </c>
    </row>
    <row r="9" spans="3:5" s="85" customFormat="1" ht="6.75" customHeight="1">
      <c r="C9" s="84"/>
      <c r="D9" s="86"/>
      <c r="E9" s="84"/>
    </row>
    <row r="10" spans="2:6" ht="15">
      <c r="B10" s="78" t="s">
        <v>95</v>
      </c>
      <c r="C10" s="193" t="s">
        <v>163</v>
      </c>
      <c r="D10" s="193"/>
      <c r="E10" s="193"/>
      <c r="F10" s="81"/>
    </row>
    <row r="11" ht="12.75"/>
    <row r="12" spans="2:7" ht="15.75" customHeight="1">
      <c r="B12" s="83" t="s">
        <v>101</v>
      </c>
      <c r="D12" s="82"/>
      <c r="E12" s="171"/>
      <c r="G12" s="78" t="s">
        <v>153</v>
      </c>
    </row>
    <row r="13" spans="2:8" ht="15">
      <c r="B13" s="83" t="s">
        <v>148</v>
      </c>
      <c r="E13" s="92">
        <v>516.34</v>
      </c>
      <c r="G13" s="179">
        <f>E13*(1+E19)</f>
        <v>550.3668060000001</v>
      </c>
      <c r="H13" s="178"/>
    </row>
    <row r="14" spans="2:8" ht="15">
      <c r="B14" s="83"/>
      <c r="C14" s="104"/>
      <c r="E14" s="170"/>
      <c r="G14" s="198"/>
      <c r="H14" s="198"/>
    </row>
    <row r="15" spans="2:8" ht="12.75">
      <c r="B15" s="83" t="s">
        <v>96</v>
      </c>
      <c r="G15" s="197"/>
      <c r="H15" s="197"/>
    </row>
    <row r="16" spans="3:8" ht="15">
      <c r="C16" s="80" t="s">
        <v>98</v>
      </c>
      <c r="E16" s="155">
        <v>0.8</v>
      </c>
      <c r="G16" s="194"/>
      <c r="H16" s="195"/>
    </row>
    <row r="17" spans="3:8" ht="13.5" customHeight="1">
      <c r="C17" s="80" t="s">
        <v>99</v>
      </c>
      <c r="E17" s="155">
        <v>0.2</v>
      </c>
      <c r="G17" s="196"/>
      <c r="H17" s="196"/>
    </row>
    <row r="18" spans="7:8" ht="12.75">
      <c r="G18" s="192"/>
      <c r="H18" s="192"/>
    </row>
    <row r="19" spans="2:8" ht="15">
      <c r="B19" s="83" t="s">
        <v>166</v>
      </c>
      <c r="E19" s="174">
        <v>0.0659</v>
      </c>
      <c r="F19" s="155"/>
      <c r="G19" s="190"/>
      <c r="H19" s="191"/>
    </row>
    <row r="20" ht="12.75"/>
    <row r="21" spans="2:5" ht="15">
      <c r="B21" s="83" t="s">
        <v>108</v>
      </c>
      <c r="D21" s="82" t="s">
        <v>149</v>
      </c>
      <c r="E21" s="149"/>
    </row>
    <row r="22" spans="4:12" ht="15">
      <c r="D22" s="82" t="s">
        <v>109</v>
      </c>
      <c r="E22" s="97"/>
      <c r="F22" s="156"/>
      <c r="L22" s="157"/>
    </row>
    <row r="23" spans="7:12" ht="12.75">
      <c r="G23" s="78" t="s">
        <v>152</v>
      </c>
      <c r="L23" s="157"/>
    </row>
    <row r="24" spans="2:8" ht="15">
      <c r="B24" s="83"/>
      <c r="G24" s="179">
        <f>IF(E25="",Årsarvode!E23,"")</f>
        <v>0</v>
      </c>
      <c r="H24" s="178"/>
    </row>
    <row r="25" ht="15">
      <c r="E25" s="187"/>
    </row>
    <row r="26" spans="2:5" ht="15">
      <c r="B26" s="83" t="s">
        <v>160</v>
      </c>
      <c r="D26" s="188" t="s">
        <v>161</v>
      </c>
      <c r="E26" s="189">
        <v>23.54</v>
      </c>
    </row>
    <row r="27" spans="2:10" ht="15">
      <c r="B27" s="83"/>
      <c r="D27" s="188" t="s">
        <v>162</v>
      </c>
      <c r="E27" s="189">
        <v>27.34</v>
      </c>
      <c r="J27" s="93"/>
    </row>
    <row r="28" spans="7:8" ht="12.75">
      <c r="G28" s="162"/>
      <c r="H28" s="162"/>
    </row>
    <row r="29" spans="2:8" ht="15">
      <c r="B29" s="83" t="s">
        <v>0</v>
      </c>
      <c r="D29" s="82" t="s">
        <v>150</v>
      </c>
      <c r="E29" s="90">
        <v>45078</v>
      </c>
      <c r="G29" s="162"/>
      <c r="H29" s="172"/>
    </row>
    <row r="30" spans="4:8" ht="15">
      <c r="D30" s="82" t="s">
        <v>151</v>
      </c>
      <c r="E30" s="90">
        <v>45443</v>
      </c>
      <c r="G30" s="162"/>
      <c r="H30" s="173"/>
    </row>
  </sheetData>
  <sheetProtection selectLockedCells="1"/>
  <mergeCells count="8">
    <mergeCell ref="G19:H19"/>
    <mergeCell ref="G18:H18"/>
    <mergeCell ref="C6:E6"/>
    <mergeCell ref="C10:E10"/>
    <mergeCell ref="G16:H16"/>
    <mergeCell ref="G17:H17"/>
    <mergeCell ref="G15:H15"/>
    <mergeCell ref="G14:H14"/>
  </mergeCells>
  <printOptions/>
  <pageMargins left="0.75" right="0.27" top="1" bottom="1" header="0.5" footer="0.5"/>
  <pageSetup horizontalDpi="600" verticalDpi="600" orientation="portrait" paperSize="9" r:id="rId3"/>
  <headerFooter alignWithMargins="0">
    <oddFooter>&amp;L&amp;6&amp;F/&amp;A/&amp;D/&amp;T&amp;R&amp;6© Göran Anderberg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showZeros="0" zoomScalePageLayoutView="0" workbookViewId="0" topLeftCell="A1">
      <pane ySplit="9" topLeftCell="A10" activePane="bottomLeft" state="frozen"/>
      <selection pane="topLeft" activeCell="E29" sqref="E29"/>
      <selection pane="bottomLeft" activeCell="G6" sqref="G6"/>
    </sheetView>
  </sheetViews>
  <sheetFormatPr defaultColWidth="9.140625" defaultRowHeight="12.75"/>
  <cols>
    <col min="1" max="1" width="9.421875" style="109" customWidth="1"/>
    <col min="2" max="2" width="15.421875" style="109" customWidth="1"/>
    <col min="3" max="3" width="20.140625" style="109" customWidth="1"/>
    <col min="4" max="4" width="10.421875" style="109" bestFit="1" customWidth="1"/>
    <col min="5" max="5" width="11.421875" style="109" customWidth="1"/>
    <col min="6" max="6" width="10.00390625" style="109" customWidth="1"/>
    <col min="7" max="7" width="11.421875" style="109" customWidth="1"/>
    <col min="8" max="16384" width="9.140625" style="109" customWidth="1"/>
  </cols>
  <sheetData>
    <row r="1" spans="1:7" s="106" customFormat="1" ht="22.5" customHeight="1">
      <c r="A1" s="158" t="s">
        <v>114</v>
      </c>
      <c r="B1" s="159"/>
      <c r="C1" s="199" t="str">
        <f>Grundformulär!$C$6</f>
        <v>Trosa</v>
      </c>
      <c r="D1" s="200"/>
      <c r="E1" s="200"/>
      <c r="F1" s="200"/>
      <c r="G1" s="201"/>
    </row>
    <row r="2" spans="1:7" s="107" customFormat="1" ht="12.75">
      <c r="A2" s="160"/>
      <c r="B2" s="161"/>
      <c r="C2" s="160"/>
      <c r="D2" s="160"/>
      <c r="E2" s="160"/>
      <c r="F2" s="160"/>
      <c r="G2" s="160"/>
    </row>
    <row r="3" spans="1:7" ht="12.75">
      <c r="A3" s="68"/>
      <c r="B3" s="68" t="s">
        <v>115</v>
      </c>
      <c r="C3" s="184">
        <f>Grundformulär!E19</f>
        <v>0.0659</v>
      </c>
      <c r="D3" s="202" t="s">
        <v>116</v>
      </c>
      <c r="E3" s="202"/>
      <c r="F3" s="202"/>
      <c r="G3" s="202"/>
    </row>
    <row r="4" spans="1:7" ht="12.75">
      <c r="A4" s="77"/>
      <c r="B4" s="68"/>
      <c r="C4" s="77"/>
      <c r="D4" s="162" t="s">
        <v>117</v>
      </c>
      <c r="E4" s="77"/>
      <c r="F4" s="164" t="s">
        <v>119</v>
      </c>
      <c r="G4" s="186">
        <f>Grundformulär!E29</f>
        <v>45078</v>
      </c>
    </row>
    <row r="5" spans="1:7" ht="12.75">
      <c r="A5" s="77" t="s">
        <v>118</v>
      </c>
      <c r="B5" s="77"/>
      <c r="C5" s="77"/>
      <c r="D5" s="163" t="s">
        <v>154</v>
      </c>
      <c r="E5" s="175">
        <f>Grundformulär!$E$12</f>
        <v>0</v>
      </c>
      <c r="F5" s="164" t="s">
        <v>155</v>
      </c>
      <c r="G5" s="186">
        <f>Grundformulär!E30</f>
        <v>45443</v>
      </c>
    </row>
    <row r="6" spans="1:7" ht="12.75">
      <c r="A6" s="77"/>
      <c r="B6" s="77"/>
      <c r="C6" s="165" t="s">
        <v>156</v>
      </c>
      <c r="D6" s="163" t="s">
        <v>120</v>
      </c>
      <c r="E6" s="185">
        <f>Grundformulär!$E$13</f>
        <v>516.34</v>
      </c>
      <c r="F6" s="163" t="s">
        <v>120</v>
      </c>
      <c r="G6" s="185">
        <f>E6*(1+C3)</f>
        <v>550.3668060000001</v>
      </c>
    </row>
    <row r="7" spans="1:7" ht="12.75">
      <c r="A7" s="77"/>
      <c r="B7" s="77"/>
      <c r="C7" s="165" t="s">
        <v>121</v>
      </c>
      <c r="D7" s="163" t="s">
        <v>122</v>
      </c>
      <c r="E7" s="166">
        <f>E6/60</f>
        <v>8.605666666666668</v>
      </c>
      <c r="F7" s="163" t="s">
        <v>122</v>
      </c>
      <c r="G7" s="110">
        <f>G6/60</f>
        <v>9.172780100000002</v>
      </c>
    </row>
    <row r="8" spans="1:7" ht="12.75">
      <c r="A8" s="77"/>
      <c r="B8" s="77"/>
      <c r="C8" s="165"/>
      <c r="D8" s="163"/>
      <c r="E8" s="167"/>
      <c r="F8" s="163"/>
      <c r="G8" s="168"/>
    </row>
    <row r="9" spans="1:7" ht="12.75">
      <c r="A9" s="111">
        <v>1</v>
      </c>
      <c r="B9" s="112" t="s">
        <v>4</v>
      </c>
      <c r="C9" s="113"/>
      <c r="D9" s="114" t="s">
        <v>123</v>
      </c>
      <c r="E9" s="115" t="s">
        <v>124</v>
      </c>
      <c r="F9" s="114" t="s">
        <v>123</v>
      </c>
      <c r="G9" s="116" t="s">
        <v>124</v>
      </c>
    </row>
    <row r="10" spans="1:7" ht="12.75">
      <c r="A10" s="117"/>
      <c r="B10" s="118"/>
      <c r="C10" s="119"/>
      <c r="D10" s="119"/>
      <c r="E10" s="120"/>
      <c r="F10" s="119"/>
      <c r="G10" s="116"/>
    </row>
    <row r="11" spans="1:7" ht="12.75">
      <c r="A11" s="121" t="s">
        <v>125</v>
      </c>
      <c r="B11" s="122" t="s">
        <v>2</v>
      </c>
      <c r="C11" s="123"/>
      <c r="D11" s="123"/>
      <c r="E11" s="123"/>
      <c r="F11" s="123"/>
      <c r="G11" s="124"/>
    </row>
    <row r="12" spans="1:7" ht="12.75">
      <c r="A12" s="125" t="s">
        <v>126</v>
      </c>
      <c r="B12" s="113" t="s">
        <v>97</v>
      </c>
      <c r="C12" s="169" t="s">
        <v>110</v>
      </c>
      <c r="D12" s="126">
        <f>SUM(Grundformulär!E26)</f>
        <v>23.54</v>
      </c>
      <c r="E12" s="127">
        <f>IF($E$6&lt;&gt;"",ROUND(D12*E$6/60,0),"")</f>
        <v>203</v>
      </c>
      <c r="F12" s="126">
        <f>SUM(D12)</f>
        <v>23.54</v>
      </c>
      <c r="G12" s="127">
        <f>IF($G$6&lt;&gt;"",ROUND(F12*G$6/60,0),"")</f>
        <v>216</v>
      </c>
    </row>
    <row r="13" spans="1:7" ht="12.75">
      <c r="A13" s="125" t="s">
        <v>127</v>
      </c>
      <c r="B13" s="113" t="s">
        <v>128</v>
      </c>
      <c r="C13" s="150" t="s">
        <v>110</v>
      </c>
      <c r="D13" s="126">
        <f>SUM(Grundformulär!E27)</f>
        <v>27.34</v>
      </c>
      <c r="E13" s="128">
        <f>IF($E$6&lt;&gt;"",ROUND(D13*E$6/60,0),"")</f>
        <v>235</v>
      </c>
      <c r="F13" s="126">
        <f>SUM(D13)</f>
        <v>27.34</v>
      </c>
      <c r="G13" s="128">
        <f>IF($G$6&lt;&gt;"",ROUND(F13*G$6/60,0),"")</f>
        <v>251</v>
      </c>
    </row>
    <row r="14" spans="1:7" ht="12.75">
      <c r="A14" s="131"/>
      <c r="B14" s="132"/>
      <c r="C14" s="132"/>
      <c r="D14" s="133"/>
      <c r="E14" s="134"/>
      <c r="F14" s="133"/>
      <c r="G14" s="134"/>
    </row>
    <row r="15" spans="1:7" s="108" customFormat="1" ht="12.75">
      <c r="A15" s="135" t="s">
        <v>129</v>
      </c>
      <c r="B15" s="136" t="s">
        <v>5</v>
      </c>
      <c r="C15" s="136"/>
      <c r="D15" s="136"/>
      <c r="E15" s="137">
        <f>IF(D15&lt;&gt;"",IF(D15*E$6/60-TRUNC(D15*E$6/60)&lt;0.25,TRUNC(D15*E$6/60),IF(D15*E$6/60-TRUNC(D15*E$6/60)&gt;0.75,(TRUNC(D15*E$6/60)+1),(TRUNC(D15*E$6/60)+0.5))),"")</f>
      </c>
      <c r="F15" s="136"/>
      <c r="G15" s="137">
        <f>IF(F15&lt;&gt;"",IF(F15*G$6/60-TRUNC(F15*G$6/60)&lt;0.25,TRUNC(F15*G$6/60),IF(F15*G$6/60-TRUNC(F15*G$6/60)&gt;0.75,(TRUNC(F15*G$6/60)+1),(TRUNC(F15*G$6/60)+0.5))),"")</f>
      </c>
    </row>
    <row r="16" spans="1:7" ht="12.75">
      <c r="A16" s="125" t="s">
        <v>130</v>
      </c>
      <c r="B16" s="113" t="s">
        <v>7</v>
      </c>
      <c r="C16" s="138"/>
      <c r="D16" s="126">
        <v>25.32</v>
      </c>
      <c r="E16" s="127">
        <f aca="true" t="shared" si="0" ref="E16:E21">IF($E$6&lt;&gt;"",ROUND(D16*E$6/60,0),"")</f>
        <v>218</v>
      </c>
      <c r="F16" s="126">
        <v>25.32</v>
      </c>
      <c r="G16" s="127">
        <f aca="true" t="shared" si="1" ref="G16:G21">IF($G$6&lt;&gt;"",ROUND(F16*G$6/60,0),"")</f>
        <v>232</v>
      </c>
    </row>
    <row r="17" spans="1:7" ht="12.75">
      <c r="A17" s="125" t="s">
        <v>8</v>
      </c>
      <c r="B17" s="113" t="s">
        <v>131</v>
      </c>
      <c r="C17" s="138"/>
      <c r="D17" s="126">
        <v>30.32</v>
      </c>
      <c r="E17" s="127">
        <f t="shared" si="0"/>
        <v>261</v>
      </c>
      <c r="F17" s="126">
        <v>30.32</v>
      </c>
      <c r="G17" s="127">
        <f t="shared" si="1"/>
        <v>278</v>
      </c>
    </row>
    <row r="18" spans="1:7" ht="12.75">
      <c r="A18" s="125" t="s">
        <v>132</v>
      </c>
      <c r="B18" s="113" t="s">
        <v>9</v>
      </c>
      <c r="C18" s="138"/>
      <c r="D18" s="126">
        <v>30.32</v>
      </c>
      <c r="E18" s="127">
        <f t="shared" si="0"/>
        <v>261</v>
      </c>
      <c r="F18" s="126">
        <v>30.32</v>
      </c>
      <c r="G18" s="127">
        <f t="shared" si="1"/>
        <v>278</v>
      </c>
    </row>
    <row r="19" spans="1:7" ht="12.75">
      <c r="A19" s="125" t="s">
        <v>10</v>
      </c>
      <c r="B19" s="113" t="s">
        <v>131</v>
      </c>
      <c r="C19" s="138"/>
      <c r="D19" s="126">
        <v>32.5</v>
      </c>
      <c r="E19" s="127">
        <f t="shared" si="0"/>
        <v>280</v>
      </c>
      <c r="F19" s="126">
        <v>32.5</v>
      </c>
      <c r="G19" s="127">
        <f t="shared" si="1"/>
        <v>298</v>
      </c>
    </row>
    <row r="20" spans="1:7" ht="12.75">
      <c r="A20" s="129" t="s">
        <v>133</v>
      </c>
      <c r="B20" s="203" t="s">
        <v>113</v>
      </c>
      <c r="C20" s="204"/>
      <c r="D20" s="130">
        <v>22.5</v>
      </c>
      <c r="E20" s="127">
        <f t="shared" si="0"/>
        <v>194</v>
      </c>
      <c r="F20" s="130">
        <v>22.5</v>
      </c>
      <c r="G20" s="127">
        <f t="shared" si="1"/>
        <v>206</v>
      </c>
    </row>
    <row r="21" spans="1:7" ht="12.75">
      <c r="A21" s="139" t="s">
        <v>134</v>
      </c>
      <c r="B21" s="123" t="s">
        <v>11</v>
      </c>
      <c r="C21" s="124"/>
      <c r="D21" s="140">
        <v>20</v>
      </c>
      <c r="E21" s="128">
        <f t="shared" si="0"/>
        <v>172</v>
      </c>
      <c r="F21" s="140">
        <v>20</v>
      </c>
      <c r="G21" s="128">
        <f t="shared" si="1"/>
        <v>183</v>
      </c>
    </row>
    <row r="22" spans="1:7" ht="12.75">
      <c r="A22" s="131"/>
      <c r="B22" s="132"/>
      <c r="C22" s="132"/>
      <c r="D22" s="133"/>
      <c r="E22" s="134"/>
      <c r="F22" s="133"/>
      <c r="G22" s="134"/>
    </row>
    <row r="23" spans="1:7" s="108" customFormat="1" ht="12.75">
      <c r="A23" s="135" t="s">
        <v>135</v>
      </c>
      <c r="B23" s="136" t="s">
        <v>33</v>
      </c>
      <c r="C23" s="136"/>
      <c r="D23" s="136"/>
      <c r="E23" s="137">
        <f>IF(D23&lt;&gt;"",IF(D23*E$6/60-TRUNC(D23*E$6/60)&lt;0.25,TRUNC(D23*E$6/60),IF(D23*E$6/60-TRUNC(D23*E$6/60)&gt;0.75,(TRUNC(D23*E$6/60)+1),(TRUNC(D23*E$6/60)+0.5))),"")</f>
      </c>
      <c r="F23" s="136"/>
      <c r="G23" s="137">
        <f>IF(F23&lt;&gt;"",IF(F23*G$6/60-TRUNC(F23*G$6/60)&lt;0.25,TRUNC(F23*G$6/60),IF(F23*G$6/60-TRUNC(F23*G$6/60)&gt;0.75,(TRUNC(F23*G$6/60)+1),(TRUNC(F23*G$6/60)+0.5))),"")</f>
      </c>
    </row>
    <row r="24" spans="1:7" ht="12.75">
      <c r="A24" s="125" t="s">
        <v>136</v>
      </c>
      <c r="B24" s="113" t="s">
        <v>13</v>
      </c>
      <c r="C24" s="138"/>
      <c r="D24" s="126">
        <v>3.84</v>
      </c>
      <c r="E24" s="127">
        <f>IF($E$6&lt;&gt;"",ROUND(D24*E$6/60,0),"")</f>
        <v>33</v>
      </c>
      <c r="F24" s="126">
        <v>3.84</v>
      </c>
      <c r="G24" s="127">
        <f>IF($G$6&lt;&gt;"",ROUND(F24*G$6/60,0),"")</f>
        <v>35</v>
      </c>
    </row>
    <row r="25" spans="1:7" ht="12.75">
      <c r="A25" s="125" t="s">
        <v>137</v>
      </c>
      <c r="B25" s="113" t="s">
        <v>138</v>
      </c>
      <c r="C25" s="138"/>
      <c r="D25" s="126">
        <v>9.48</v>
      </c>
      <c r="E25" s="127">
        <f>IF($E$6&lt;&gt;"",ROUND(D25*E$6/60,0),"")</f>
        <v>82</v>
      </c>
      <c r="F25" s="126">
        <v>9.48</v>
      </c>
      <c r="G25" s="127">
        <f>IF($G$6&lt;&gt;"",ROUND(F25*G$6/60,0),"")</f>
        <v>87</v>
      </c>
    </row>
    <row r="26" spans="1:7" ht="12.75">
      <c r="A26" s="129"/>
      <c r="B26" s="119"/>
      <c r="C26" s="119"/>
      <c r="D26" s="119"/>
      <c r="E26" s="180"/>
      <c r="F26" s="119"/>
      <c r="G26" s="181"/>
    </row>
    <row r="27" spans="1:7" s="108" customFormat="1" ht="12.75">
      <c r="A27" s="182">
        <v>2</v>
      </c>
      <c r="B27" s="122" t="s">
        <v>15</v>
      </c>
      <c r="C27" s="122"/>
      <c r="D27" s="122"/>
      <c r="E27" s="142"/>
      <c r="F27" s="122"/>
      <c r="G27" s="183"/>
    </row>
    <row r="28" spans="1:7" ht="12.75">
      <c r="A28" s="129" t="s">
        <v>16</v>
      </c>
      <c r="B28" s="119" t="s">
        <v>139</v>
      </c>
      <c r="C28" s="141"/>
      <c r="D28" s="114" t="s">
        <v>140</v>
      </c>
      <c r="E28" s="143"/>
      <c r="F28" s="114" t="s">
        <v>140</v>
      </c>
      <c r="G28" s="143"/>
    </row>
    <row r="29" spans="1:7" ht="12.75">
      <c r="A29" s="125"/>
      <c r="B29" s="144" t="s">
        <v>49</v>
      </c>
      <c r="C29" s="138"/>
      <c r="D29" s="126">
        <v>46.94</v>
      </c>
      <c r="E29" s="127">
        <f aca="true" t="shared" si="2" ref="E29:E43">IF($E$6&lt;&gt;"",ROUND(D29*E$6/60,0),"")</f>
        <v>404</v>
      </c>
      <c r="F29" s="126">
        <v>46.94</v>
      </c>
      <c r="G29" s="127">
        <f aca="true" t="shared" si="3" ref="G29:G43">IF($G$6&lt;&gt;"",ROUND(F29*G$6/60,0),"")</f>
        <v>431</v>
      </c>
    </row>
    <row r="30" spans="1:7" ht="12.75">
      <c r="A30" s="125"/>
      <c r="B30" s="144" t="s">
        <v>51</v>
      </c>
      <c r="C30" s="138"/>
      <c r="D30" s="126">
        <v>54.43</v>
      </c>
      <c r="E30" s="127">
        <f t="shared" si="2"/>
        <v>468</v>
      </c>
      <c r="F30" s="126">
        <v>54.43</v>
      </c>
      <c r="G30" s="127">
        <f t="shared" si="3"/>
        <v>499</v>
      </c>
    </row>
    <row r="31" spans="1:7" ht="12.75">
      <c r="A31" s="125"/>
      <c r="B31" s="144" t="s">
        <v>53</v>
      </c>
      <c r="C31" s="138"/>
      <c r="D31" s="126">
        <v>62.49</v>
      </c>
      <c r="E31" s="127">
        <f t="shared" si="2"/>
        <v>538</v>
      </c>
      <c r="F31" s="126">
        <v>62.49</v>
      </c>
      <c r="G31" s="127">
        <f t="shared" si="3"/>
        <v>573</v>
      </c>
    </row>
    <row r="32" spans="1:7" ht="12.75">
      <c r="A32" s="125"/>
      <c r="B32" s="144" t="s">
        <v>55</v>
      </c>
      <c r="C32" s="138"/>
      <c r="D32" s="126">
        <v>65.65</v>
      </c>
      <c r="E32" s="127">
        <f t="shared" si="2"/>
        <v>565</v>
      </c>
      <c r="F32" s="126">
        <v>65.65</v>
      </c>
      <c r="G32" s="127">
        <f t="shared" si="3"/>
        <v>602</v>
      </c>
    </row>
    <row r="33" spans="1:7" ht="12.75">
      <c r="A33" s="139"/>
      <c r="B33" s="145" t="s">
        <v>57</v>
      </c>
      <c r="C33" s="124"/>
      <c r="D33" s="140">
        <v>70.36</v>
      </c>
      <c r="E33" s="128">
        <f t="shared" si="2"/>
        <v>605</v>
      </c>
      <c r="F33" s="140">
        <v>70.36</v>
      </c>
      <c r="G33" s="128">
        <f t="shared" si="3"/>
        <v>645</v>
      </c>
    </row>
    <row r="34" spans="1:7" ht="12.75">
      <c r="A34" s="129" t="s">
        <v>141</v>
      </c>
      <c r="B34" s="146" t="s">
        <v>142</v>
      </c>
      <c r="C34" s="141"/>
      <c r="D34" s="130">
        <v>16.18</v>
      </c>
      <c r="E34" s="127">
        <f t="shared" si="2"/>
        <v>139</v>
      </c>
      <c r="F34" s="130">
        <v>16.18</v>
      </c>
      <c r="G34" s="127">
        <f t="shared" si="3"/>
        <v>148</v>
      </c>
    </row>
    <row r="35" spans="1:7" ht="12.75">
      <c r="A35" s="125"/>
      <c r="B35" s="144" t="s">
        <v>49</v>
      </c>
      <c r="C35" s="138"/>
      <c r="D35" s="126">
        <v>29.47</v>
      </c>
      <c r="E35" s="127">
        <f t="shared" si="2"/>
        <v>254</v>
      </c>
      <c r="F35" s="126">
        <v>29.47</v>
      </c>
      <c r="G35" s="127">
        <f t="shared" si="3"/>
        <v>270</v>
      </c>
    </row>
    <row r="36" spans="1:7" ht="12.75">
      <c r="A36" s="125"/>
      <c r="B36" s="144" t="s">
        <v>51</v>
      </c>
      <c r="C36" s="138"/>
      <c r="D36" s="126">
        <v>36.96</v>
      </c>
      <c r="E36" s="127">
        <f t="shared" si="2"/>
        <v>318</v>
      </c>
      <c r="F36" s="126">
        <v>36.96</v>
      </c>
      <c r="G36" s="127">
        <f t="shared" si="3"/>
        <v>339</v>
      </c>
    </row>
    <row r="37" spans="1:7" ht="12.75">
      <c r="A37" s="125"/>
      <c r="B37" s="144" t="s">
        <v>53</v>
      </c>
      <c r="C37" s="138"/>
      <c r="D37" s="126">
        <v>45.02</v>
      </c>
      <c r="E37" s="127">
        <f t="shared" si="2"/>
        <v>387</v>
      </c>
      <c r="F37" s="126">
        <v>45.02</v>
      </c>
      <c r="G37" s="127">
        <f t="shared" si="3"/>
        <v>413</v>
      </c>
    </row>
    <row r="38" spans="1:7" ht="12.75">
      <c r="A38" s="125"/>
      <c r="B38" s="144" t="s">
        <v>55</v>
      </c>
      <c r="C38" s="138"/>
      <c r="D38" s="126">
        <v>48.18</v>
      </c>
      <c r="E38" s="127">
        <f t="shared" si="2"/>
        <v>415</v>
      </c>
      <c r="F38" s="126">
        <v>48.18</v>
      </c>
      <c r="G38" s="127">
        <f t="shared" si="3"/>
        <v>442</v>
      </c>
    </row>
    <row r="39" spans="1:7" ht="12.75">
      <c r="A39" s="139"/>
      <c r="B39" s="145" t="s">
        <v>57</v>
      </c>
      <c r="C39" s="124"/>
      <c r="D39" s="140">
        <v>52.89</v>
      </c>
      <c r="E39" s="128">
        <f t="shared" si="2"/>
        <v>455</v>
      </c>
      <c r="F39" s="140">
        <v>52.89</v>
      </c>
      <c r="G39" s="128">
        <f t="shared" si="3"/>
        <v>485</v>
      </c>
    </row>
    <row r="40" spans="1:7" ht="12.75">
      <c r="A40" s="151" t="s">
        <v>143</v>
      </c>
      <c r="B40" s="152" t="s">
        <v>17</v>
      </c>
      <c r="C40" s="152"/>
      <c r="D40" s="153">
        <v>4</v>
      </c>
      <c r="E40" s="154">
        <f t="shared" si="2"/>
        <v>34</v>
      </c>
      <c r="F40" s="153">
        <v>4</v>
      </c>
      <c r="G40" s="154">
        <f t="shared" si="3"/>
        <v>37</v>
      </c>
    </row>
    <row r="41" spans="1:7" ht="12.75">
      <c r="A41" s="125" t="s">
        <v>144</v>
      </c>
      <c r="B41" s="113" t="s">
        <v>18</v>
      </c>
      <c r="C41" s="113"/>
      <c r="D41" s="126">
        <v>6</v>
      </c>
      <c r="E41" s="127">
        <f t="shared" si="2"/>
        <v>52</v>
      </c>
      <c r="F41" s="126">
        <v>6</v>
      </c>
      <c r="G41" s="127">
        <f t="shared" si="3"/>
        <v>55</v>
      </c>
    </row>
    <row r="42" spans="1:7" ht="12.75">
      <c r="A42" s="113" t="s">
        <v>145</v>
      </c>
      <c r="B42" s="113" t="s">
        <v>146</v>
      </c>
      <c r="C42" s="113"/>
      <c r="D42" s="126">
        <v>9</v>
      </c>
      <c r="E42" s="127">
        <f t="shared" si="2"/>
        <v>77</v>
      </c>
      <c r="F42" s="126">
        <v>9</v>
      </c>
      <c r="G42" s="127">
        <f t="shared" si="3"/>
        <v>83</v>
      </c>
    </row>
    <row r="43" spans="1:7" ht="12.75">
      <c r="A43" s="139" t="s">
        <v>19</v>
      </c>
      <c r="B43" s="123" t="s">
        <v>20</v>
      </c>
      <c r="C43" s="123"/>
      <c r="D43" s="147">
        <v>60</v>
      </c>
      <c r="E43" s="128">
        <f t="shared" si="2"/>
        <v>516</v>
      </c>
      <c r="F43" s="147">
        <v>60</v>
      </c>
      <c r="G43" s="128">
        <f t="shared" si="3"/>
        <v>550</v>
      </c>
    </row>
    <row r="44" ht="12.75">
      <c r="A44" s="148" t="s">
        <v>147</v>
      </c>
    </row>
    <row r="45" spans="1:7" ht="12.75">
      <c r="A45" s="205"/>
      <c r="B45" s="205"/>
      <c r="C45" s="205"/>
      <c r="D45" s="205"/>
      <c r="E45" s="205"/>
      <c r="F45" s="205"/>
      <c r="G45" s="205"/>
    </row>
  </sheetData>
  <sheetProtection/>
  <mergeCells count="4">
    <mergeCell ref="C1:G1"/>
    <mergeCell ref="D3:G3"/>
    <mergeCell ref="B20:C20"/>
    <mergeCell ref="A45:G45"/>
  </mergeCells>
  <printOptions/>
  <pageMargins left="0.99" right="0.39" top="0.6" bottom="0.61" header="0.3" footer="0.26"/>
  <pageSetup fitToHeight="1" fitToWidth="1" horizontalDpi="600" verticalDpi="600" orientation="portrait" paperSize="9" r:id="rId1"/>
  <headerFooter alignWithMargins="0">
    <oddFooter>&amp;L&amp;8&amp;F/&amp;D&amp;R&amp;8C-G Anderberg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2"/>
  <sheetViews>
    <sheetView showGridLines="0" showZeros="0" zoomScalePageLayoutView="0" workbookViewId="0" topLeftCell="A1">
      <pane ySplit="5" topLeftCell="A42" activePane="bottomLeft" state="frozen"/>
      <selection pane="topLeft" activeCell="E29" sqref="E29"/>
      <selection pane="bottomLeft" activeCell="A2" sqref="A2"/>
    </sheetView>
  </sheetViews>
  <sheetFormatPr defaultColWidth="9.140625" defaultRowHeight="12.75"/>
  <cols>
    <col min="1" max="1" width="4.140625" style="19" customWidth="1"/>
    <col min="2" max="2" width="3.140625" style="55" customWidth="1"/>
    <col min="3" max="3" width="50.57421875" style="56" customWidth="1"/>
    <col min="4" max="5" width="9.140625" style="19" customWidth="1"/>
    <col min="6" max="7" width="10.00390625" style="57" customWidth="1"/>
    <col min="8" max="16384" width="9.140625" style="19" customWidth="1"/>
  </cols>
  <sheetData>
    <row r="1" spans="1:7" s="12" customFormat="1" ht="18">
      <c r="A1" s="5" t="s">
        <v>21</v>
      </c>
      <c r="B1" s="6"/>
      <c r="C1" s="7"/>
      <c r="D1" s="8"/>
      <c r="E1" s="9"/>
      <c r="F1" s="10"/>
      <c r="G1" s="11" t="str">
        <f>IF(Grundformulär!E29&lt;&gt;"","Period "&amp;TEXT(Grundformulär!E29,"åååå-MM-dd")&amp;"--"&amp;TEXT(Grundformulär!E30,"åååå-MM-dd"),"")</f>
        <v>Period 2023-06-01--2024-05-31</v>
      </c>
    </row>
    <row r="2" spans="1:7" ht="12">
      <c r="A2" s="13" t="s">
        <v>22</v>
      </c>
      <c r="B2" s="14"/>
      <c r="C2" s="15"/>
      <c r="D2" s="16"/>
      <c r="E2" s="16"/>
      <c r="F2" s="17"/>
      <c r="G2" s="18"/>
    </row>
    <row r="3" spans="1:7" s="25" customFormat="1" ht="18">
      <c r="A3" s="89" t="str">
        <f>Grundformulär!C6</f>
        <v>Trosa</v>
      </c>
      <c r="B3" s="20"/>
      <c r="C3" s="21"/>
      <c r="D3" s="22"/>
      <c r="E3" s="22"/>
      <c r="F3" s="23"/>
      <c r="G3" s="24"/>
    </row>
    <row r="4" spans="1:7" ht="12">
      <c r="A4" s="26" t="s">
        <v>157</v>
      </c>
      <c r="B4" s="27"/>
      <c r="C4" s="28"/>
      <c r="D4" s="26"/>
      <c r="E4" s="26"/>
      <c r="F4" s="29"/>
      <c r="G4" s="29"/>
    </row>
    <row r="5" spans="1:7" ht="12">
      <c r="A5" s="26" t="s">
        <v>23</v>
      </c>
      <c r="B5" s="27"/>
      <c r="C5" s="28"/>
      <c r="D5" s="26"/>
      <c r="E5" s="26"/>
      <c r="F5" s="29"/>
      <c r="G5" s="29"/>
    </row>
    <row r="6" spans="1:7" ht="24">
      <c r="A6" s="30" t="s">
        <v>3</v>
      </c>
      <c r="B6" s="27"/>
      <c r="C6" s="31" t="s">
        <v>4</v>
      </c>
      <c r="D6" s="32"/>
      <c r="E6" s="32"/>
      <c r="F6" s="33" t="s">
        <v>24</v>
      </c>
      <c r="G6" s="34"/>
    </row>
    <row r="7" spans="1:7" ht="12">
      <c r="A7" s="30" t="s">
        <v>1</v>
      </c>
      <c r="B7" s="35"/>
      <c r="C7" s="36" t="s">
        <v>2</v>
      </c>
      <c r="D7" s="37"/>
      <c r="E7" s="37"/>
      <c r="F7" s="38"/>
      <c r="G7" s="18"/>
    </row>
    <row r="8" spans="1:7" ht="24">
      <c r="A8" s="26"/>
      <c r="B8" s="27"/>
      <c r="C8" s="28" t="s">
        <v>25</v>
      </c>
      <c r="D8" s="37"/>
      <c r="E8" s="37"/>
      <c r="F8" s="39"/>
      <c r="G8" s="40"/>
    </row>
    <row r="9" spans="1:7" ht="12">
      <c r="A9" s="26"/>
      <c r="B9" s="27">
        <v>1</v>
      </c>
      <c r="C9" s="28" t="s">
        <v>26</v>
      </c>
      <c r="D9" s="105">
        <f>IF('Sotningstaxa underlag'!F12&lt;&gt;0,'Sotningstaxa underlag'!F12,'Sotningstaxa underlag'!D12)</f>
        <v>23.54</v>
      </c>
      <c r="E9" s="37" t="s">
        <v>110</v>
      </c>
      <c r="F9" s="41">
        <f>'Sotningstaxa underlag'!G12</f>
        <v>216</v>
      </c>
      <c r="G9" s="40"/>
    </row>
    <row r="10" spans="1:7" ht="12">
      <c r="A10" s="26"/>
      <c r="B10" s="27">
        <v>2</v>
      </c>
      <c r="C10" s="28" t="s">
        <v>27</v>
      </c>
      <c r="D10" s="105">
        <f>IF('Sotningstaxa underlag'!F13&lt;&gt;0,'Sotningstaxa underlag'!F13,'Sotningstaxa underlag'!D13)</f>
        <v>27.34</v>
      </c>
      <c r="E10" s="37" t="s">
        <v>110</v>
      </c>
      <c r="F10" s="41">
        <f>'Sotningstaxa underlag'!G13</f>
        <v>251</v>
      </c>
      <c r="G10" s="40"/>
    </row>
    <row r="11" spans="1:7" ht="12">
      <c r="A11" s="30" t="s">
        <v>6</v>
      </c>
      <c r="B11" s="27"/>
      <c r="C11" s="36" t="s">
        <v>28</v>
      </c>
      <c r="D11" s="37"/>
      <c r="E11" s="37"/>
      <c r="F11" s="39"/>
      <c r="G11" s="40"/>
    </row>
    <row r="12" spans="1:7" ht="24">
      <c r="A12" s="26"/>
      <c r="B12" s="27"/>
      <c r="C12" s="28" t="s">
        <v>29</v>
      </c>
      <c r="D12" s="37"/>
      <c r="E12" s="37"/>
      <c r="F12" s="39"/>
      <c r="G12" s="40"/>
    </row>
    <row r="13" spans="1:7" ht="12">
      <c r="A13" s="26"/>
      <c r="B13" s="27">
        <v>1</v>
      </c>
      <c r="C13" s="28" t="s">
        <v>30</v>
      </c>
      <c r="D13" s="37"/>
      <c r="E13" s="37"/>
      <c r="F13" s="39"/>
      <c r="G13" s="40"/>
    </row>
    <row r="14" spans="1:7" ht="12">
      <c r="A14" s="26"/>
      <c r="B14" s="27"/>
      <c r="C14" s="28" t="s">
        <v>31</v>
      </c>
      <c r="D14" s="37"/>
      <c r="E14" s="37"/>
      <c r="F14" s="42">
        <f>'Sotningstaxa underlag'!G16</f>
        <v>232</v>
      </c>
      <c r="G14" s="40"/>
    </row>
    <row r="15" spans="1:7" ht="12">
      <c r="A15" s="26"/>
      <c r="B15" s="27"/>
      <c r="C15" s="28" t="s">
        <v>111</v>
      </c>
      <c r="D15" s="37"/>
      <c r="E15" s="37"/>
      <c r="F15" s="42">
        <f>'Sotningstaxa underlag'!G17</f>
        <v>278</v>
      </c>
      <c r="G15" s="40"/>
    </row>
    <row r="16" spans="1:7" ht="12">
      <c r="A16" s="26"/>
      <c r="B16" s="27"/>
      <c r="C16" s="28" t="s">
        <v>32</v>
      </c>
      <c r="D16" s="37"/>
      <c r="E16" s="37"/>
      <c r="F16" s="42">
        <f>'Sotningstaxa underlag'!G18</f>
        <v>278</v>
      </c>
      <c r="G16" s="40"/>
    </row>
    <row r="17" spans="1:7" ht="12">
      <c r="A17" s="26"/>
      <c r="B17" s="27"/>
      <c r="C17" s="28" t="s">
        <v>112</v>
      </c>
      <c r="D17" s="37"/>
      <c r="E17" s="37"/>
      <c r="F17" s="42">
        <f>'Sotningstaxa underlag'!G19</f>
        <v>298</v>
      </c>
      <c r="G17" s="40"/>
    </row>
    <row r="18" spans="1:7" ht="12">
      <c r="A18" s="26"/>
      <c r="B18" s="27">
        <v>2</v>
      </c>
      <c r="C18" s="28" t="str">
        <f>'Sotningstaxa underlag'!B20</f>
        <v>Braskamin</v>
      </c>
      <c r="D18" s="37"/>
      <c r="E18" s="37"/>
      <c r="F18" s="42">
        <f>'Sotningstaxa underlag'!G20</f>
        <v>206</v>
      </c>
      <c r="G18" s="40"/>
    </row>
    <row r="19" spans="1:7" ht="12">
      <c r="A19" s="26"/>
      <c r="B19" s="27">
        <v>3</v>
      </c>
      <c r="C19" s="28" t="str">
        <f>'Sotningstaxa underlag'!B21</f>
        <v>Lokaleldstad</v>
      </c>
      <c r="D19" s="37"/>
      <c r="E19" s="37"/>
      <c r="F19" s="42">
        <f>'Sotningstaxa underlag'!G21</f>
        <v>183</v>
      </c>
      <c r="G19" s="40"/>
    </row>
    <row r="20" spans="1:7" ht="12">
      <c r="A20" s="30" t="s">
        <v>12</v>
      </c>
      <c r="B20" s="27"/>
      <c r="C20" s="36" t="s">
        <v>33</v>
      </c>
      <c r="D20" s="37"/>
      <c r="E20" s="37"/>
      <c r="F20" s="39"/>
      <c r="G20" s="40"/>
    </row>
    <row r="21" spans="1:7" ht="12">
      <c r="A21" s="26"/>
      <c r="B21" s="27">
        <v>1</v>
      </c>
      <c r="C21" s="28" t="s">
        <v>34</v>
      </c>
      <c r="D21" s="37"/>
      <c r="E21" s="37"/>
      <c r="F21" s="39"/>
      <c r="G21" s="40"/>
    </row>
    <row r="22" spans="1:7" ht="12">
      <c r="A22" s="26"/>
      <c r="B22" s="27"/>
      <c r="C22" s="28" t="s">
        <v>35</v>
      </c>
      <c r="D22" s="37"/>
      <c r="E22" s="37"/>
      <c r="F22" s="42">
        <f>'Sotningstaxa underlag'!G24</f>
        <v>35</v>
      </c>
      <c r="G22" s="40"/>
    </row>
    <row r="23" spans="1:7" ht="12">
      <c r="A23" s="26"/>
      <c r="B23" s="27"/>
      <c r="C23" s="28" t="s">
        <v>36</v>
      </c>
      <c r="D23" s="37"/>
      <c r="E23" s="37"/>
      <c r="F23" s="42">
        <f>'Sotningstaxa underlag'!G25</f>
        <v>87</v>
      </c>
      <c r="G23" s="40"/>
    </row>
    <row r="24" spans="1:7" ht="18.75" customHeight="1">
      <c r="A24" s="26"/>
      <c r="B24" s="27"/>
      <c r="C24" s="28" t="s">
        <v>37</v>
      </c>
      <c r="D24" s="37"/>
      <c r="E24" s="37"/>
      <c r="F24" s="39"/>
      <c r="G24" s="40"/>
    </row>
    <row r="25" spans="1:7" ht="12">
      <c r="A25" s="30" t="s">
        <v>14</v>
      </c>
      <c r="B25" s="27"/>
      <c r="C25" s="36" t="s">
        <v>15</v>
      </c>
      <c r="D25" s="37"/>
      <c r="E25" s="37"/>
      <c r="F25" s="39"/>
      <c r="G25" s="40"/>
    </row>
    <row r="26" spans="1:7" ht="12">
      <c r="A26" s="30" t="s">
        <v>38</v>
      </c>
      <c r="B26" s="27"/>
      <c r="C26" s="36" t="s">
        <v>39</v>
      </c>
      <c r="D26" s="37"/>
      <c r="E26" s="37"/>
      <c r="F26" s="39"/>
      <c r="G26" s="40"/>
    </row>
    <row r="27" spans="1:7" ht="36.75" customHeight="1">
      <c r="A27" s="26"/>
      <c r="B27" s="27"/>
      <c r="C27" s="28" t="s">
        <v>40</v>
      </c>
      <c r="D27" s="37"/>
      <c r="E27" s="37"/>
      <c r="F27" s="39"/>
      <c r="G27" s="40"/>
    </row>
    <row r="28" spans="1:7" ht="36">
      <c r="A28" s="26"/>
      <c r="B28" s="27"/>
      <c r="C28" s="28" t="s">
        <v>41</v>
      </c>
      <c r="D28" s="37"/>
      <c r="E28" s="37"/>
      <c r="F28" s="39"/>
      <c r="G28" s="40"/>
    </row>
    <row r="29" spans="1:7" ht="12">
      <c r="A29" s="30" t="s">
        <v>16</v>
      </c>
      <c r="B29" s="27"/>
      <c r="C29" s="36"/>
      <c r="D29" s="37"/>
      <c r="E29" s="37"/>
      <c r="F29" s="39"/>
      <c r="G29" s="40"/>
    </row>
    <row r="30" spans="1:7" ht="50.25" customHeight="1">
      <c r="A30" s="26"/>
      <c r="B30" s="27">
        <v>1</v>
      </c>
      <c r="C30" s="28" t="s">
        <v>42</v>
      </c>
      <c r="D30" s="43" t="s">
        <v>43</v>
      </c>
      <c r="E30" s="44" t="s">
        <v>44</v>
      </c>
      <c r="F30" s="45" t="s">
        <v>45</v>
      </c>
      <c r="G30" s="46" t="s">
        <v>46</v>
      </c>
    </row>
    <row r="31" spans="1:7" ht="24.75" customHeight="1">
      <c r="A31" s="26"/>
      <c r="B31" s="27"/>
      <c r="C31" s="26"/>
      <c r="D31" s="47">
        <v>-50</v>
      </c>
      <c r="E31" s="47" t="s">
        <v>47</v>
      </c>
      <c r="F31" s="48" t="s">
        <v>48</v>
      </c>
      <c r="G31" s="49">
        <f>'Sotningstaxa underlag'!G34</f>
        <v>148</v>
      </c>
    </row>
    <row r="32" spans="1:7" ht="12">
      <c r="A32" s="26"/>
      <c r="B32" s="27"/>
      <c r="C32" s="26"/>
      <c r="D32" s="47" t="s">
        <v>49</v>
      </c>
      <c r="E32" s="47" t="s">
        <v>50</v>
      </c>
      <c r="F32" s="50">
        <f>'Sotningstaxa underlag'!G29</f>
        <v>431</v>
      </c>
      <c r="G32" s="49">
        <f>'Sotningstaxa underlag'!G35</f>
        <v>270</v>
      </c>
    </row>
    <row r="33" spans="1:7" ht="12">
      <c r="A33" s="26"/>
      <c r="B33" s="27"/>
      <c r="C33" s="28"/>
      <c r="D33" s="47" t="s">
        <v>51</v>
      </c>
      <c r="E33" s="47" t="s">
        <v>52</v>
      </c>
      <c r="F33" s="50">
        <f>'Sotningstaxa underlag'!G30</f>
        <v>499</v>
      </c>
      <c r="G33" s="49">
        <f>'Sotningstaxa underlag'!G36</f>
        <v>339</v>
      </c>
    </row>
    <row r="34" spans="1:7" ht="12">
      <c r="A34" s="26"/>
      <c r="B34" s="27"/>
      <c r="C34" s="28"/>
      <c r="D34" s="47" t="s">
        <v>53</v>
      </c>
      <c r="E34" s="47" t="s">
        <v>54</v>
      </c>
      <c r="F34" s="50">
        <f>'Sotningstaxa underlag'!G31</f>
        <v>573</v>
      </c>
      <c r="G34" s="49">
        <f>'Sotningstaxa underlag'!G37</f>
        <v>413</v>
      </c>
    </row>
    <row r="35" spans="1:7" ht="12">
      <c r="A35" s="26"/>
      <c r="B35" s="27"/>
      <c r="C35" s="28"/>
      <c r="D35" s="47" t="s">
        <v>55</v>
      </c>
      <c r="E35" s="51" t="s">
        <v>56</v>
      </c>
      <c r="F35" s="50">
        <f>'Sotningstaxa underlag'!G32</f>
        <v>602</v>
      </c>
      <c r="G35" s="49">
        <f>'Sotningstaxa underlag'!G38</f>
        <v>442</v>
      </c>
    </row>
    <row r="36" spans="1:7" ht="12">
      <c r="A36" s="26"/>
      <c r="B36" s="27"/>
      <c r="C36" s="28"/>
      <c r="D36" s="47" t="s">
        <v>57</v>
      </c>
      <c r="E36" s="47" t="s">
        <v>58</v>
      </c>
      <c r="F36" s="50">
        <f>'Sotningstaxa underlag'!G33</f>
        <v>645</v>
      </c>
      <c r="G36" s="49">
        <f>'Sotningstaxa underlag'!G39</f>
        <v>485</v>
      </c>
    </row>
    <row r="37" spans="1:7" ht="50.25" customHeight="1">
      <c r="A37" s="26"/>
      <c r="B37" s="27">
        <v>2</v>
      </c>
      <c r="C37" s="28" t="s">
        <v>59</v>
      </c>
      <c r="D37" s="37"/>
      <c r="E37" s="37"/>
      <c r="F37" s="39"/>
      <c r="G37" s="40"/>
    </row>
    <row r="38" spans="1:7" ht="12">
      <c r="A38" s="30" t="s">
        <v>60</v>
      </c>
      <c r="B38" s="35"/>
      <c r="C38" s="36" t="s">
        <v>33</v>
      </c>
      <c r="D38" s="37"/>
      <c r="E38" s="37"/>
      <c r="F38" s="176"/>
      <c r="G38" s="177"/>
    </row>
    <row r="39" spans="1:7" ht="12">
      <c r="A39" s="26"/>
      <c r="B39" s="27">
        <v>1</v>
      </c>
      <c r="C39" s="28" t="s">
        <v>62</v>
      </c>
      <c r="D39" s="37"/>
      <c r="E39" s="37"/>
      <c r="F39" s="42">
        <f>'Sotningstaxa underlag'!G40</f>
        <v>37</v>
      </c>
      <c r="G39" s="40"/>
    </row>
    <row r="40" spans="1:7" ht="39" customHeight="1">
      <c r="A40" s="26"/>
      <c r="B40" s="27">
        <v>2</v>
      </c>
      <c r="C40" s="28" t="s">
        <v>63</v>
      </c>
      <c r="D40" s="37"/>
      <c r="E40" s="37"/>
      <c r="F40" s="39"/>
      <c r="G40" s="40"/>
    </row>
    <row r="41" spans="1:7" ht="12">
      <c r="A41" s="30" t="s">
        <v>64</v>
      </c>
      <c r="B41" s="27"/>
      <c r="C41" s="36" t="s">
        <v>65</v>
      </c>
      <c r="D41" s="37"/>
      <c r="E41" s="37"/>
      <c r="F41" s="39"/>
      <c r="G41" s="40"/>
    </row>
    <row r="42" spans="1:7" ht="36">
      <c r="A42" s="26"/>
      <c r="B42" s="27">
        <v>1</v>
      </c>
      <c r="C42" s="28" t="s">
        <v>66</v>
      </c>
      <c r="D42" s="37"/>
      <c r="E42" s="37"/>
      <c r="F42" s="52"/>
      <c r="G42" s="53"/>
    </row>
    <row r="43" spans="1:7" ht="12">
      <c r="A43" s="30" t="s">
        <v>67</v>
      </c>
      <c r="B43" s="27"/>
      <c r="C43" s="36" t="s">
        <v>68</v>
      </c>
      <c r="D43" s="37"/>
      <c r="E43" s="37"/>
      <c r="F43" s="54" t="s">
        <v>61</v>
      </c>
      <c r="G43" s="34"/>
    </row>
    <row r="44" spans="1:7" ht="48">
      <c r="A44" s="26"/>
      <c r="B44" s="27">
        <v>1</v>
      </c>
      <c r="C44" s="28" t="s">
        <v>69</v>
      </c>
      <c r="D44" s="26"/>
      <c r="E44" s="26"/>
      <c r="F44" s="39"/>
      <c r="G44" s="40"/>
    </row>
    <row r="45" spans="1:7" ht="24">
      <c r="A45" s="26"/>
      <c r="B45" s="27"/>
      <c r="C45" s="28" t="s">
        <v>70</v>
      </c>
      <c r="D45" s="26"/>
      <c r="E45" s="26"/>
      <c r="F45" s="39"/>
      <c r="G45" s="40"/>
    </row>
    <row r="46" spans="1:7" ht="24">
      <c r="A46" s="26"/>
      <c r="B46" s="27"/>
      <c r="C46" s="28" t="s">
        <v>71</v>
      </c>
      <c r="D46" s="26"/>
      <c r="E46" s="26"/>
      <c r="F46" s="39"/>
      <c r="G46" s="40"/>
    </row>
    <row r="47" spans="1:7" ht="48">
      <c r="A47" s="26"/>
      <c r="B47" s="27"/>
      <c r="C47" s="28" t="s">
        <v>72</v>
      </c>
      <c r="D47" s="26"/>
      <c r="E47" s="26"/>
      <c r="F47" s="39"/>
      <c r="G47" s="40"/>
    </row>
    <row r="48" spans="1:7" ht="12">
      <c r="A48" s="26"/>
      <c r="B48" s="27"/>
      <c r="C48" s="28" t="s">
        <v>73</v>
      </c>
      <c r="D48" s="26"/>
      <c r="E48" s="26"/>
      <c r="F48" s="39"/>
      <c r="G48" s="40"/>
    </row>
    <row r="49" spans="1:7" ht="36">
      <c r="A49" s="26"/>
      <c r="B49" s="27"/>
      <c r="C49" s="28" t="s">
        <v>74</v>
      </c>
      <c r="D49" s="26"/>
      <c r="E49" s="26"/>
      <c r="F49" s="39"/>
      <c r="G49" s="40"/>
    </row>
    <row r="50" spans="1:7" ht="12">
      <c r="A50" s="26"/>
      <c r="B50" s="27"/>
      <c r="C50" s="28" t="s">
        <v>75</v>
      </c>
      <c r="D50" s="26"/>
      <c r="E50" s="26"/>
      <c r="F50" s="39"/>
      <c r="G50" s="40"/>
    </row>
    <row r="51" spans="1:7" ht="24">
      <c r="A51" s="26"/>
      <c r="B51" s="27">
        <v>2</v>
      </c>
      <c r="C51" s="28" t="s">
        <v>76</v>
      </c>
      <c r="D51" s="26"/>
      <c r="E51" s="26"/>
      <c r="F51" s="42">
        <f>'Sotningstaxa underlag'!G41</f>
        <v>55</v>
      </c>
      <c r="G51" s="40"/>
    </row>
    <row r="52" spans="1:7" ht="36">
      <c r="A52" s="26"/>
      <c r="B52" s="27"/>
      <c r="C52" s="28" t="s">
        <v>77</v>
      </c>
      <c r="D52" s="26"/>
      <c r="E52" s="26"/>
      <c r="F52" s="39"/>
      <c r="G52" s="40"/>
    </row>
    <row r="53" spans="1:7" ht="36">
      <c r="A53" s="26"/>
      <c r="B53" s="27">
        <v>3</v>
      </c>
      <c r="C53" s="28" t="s">
        <v>78</v>
      </c>
      <c r="D53" s="26"/>
      <c r="E53" s="26"/>
      <c r="F53" s="42">
        <f>'Sotningstaxa underlag'!G42</f>
        <v>83</v>
      </c>
      <c r="G53" s="40"/>
    </row>
    <row r="54" spans="1:7" ht="49.5" customHeight="1">
      <c r="A54" s="26"/>
      <c r="B54" s="27"/>
      <c r="C54" s="28" t="s">
        <v>79</v>
      </c>
      <c r="D54" s="26"/>
      <c r="E54" s="26"/>
      <c r="F54" s="39"/>
      <c r="G54" s="40"/>
    </row>
    <row r="55" spans="1:7" ht="49.5" customHeight="1">
      <c r="A55" s="26"/>
      <c r="B55" s="27"/>
      <c r="C55" s="28" t="s">
        <v>80</v>
      </c>
      <c r="D55" s="26"/>
      <c r="E55" s="26"/>
      <c r="F55" s="39"/>
      <c r="G55" s="40"/>
    </row>
    <row r="56" spans="1:7" ht="37.5" customHeight="1">
      <c r="A56" s="26"/>
      <c r="B56" s="27"/>
      <c r="C56" s="28" t="s">
        <v>81</v>
      </c>
      <c r="D56" s="26"/>
      <c r="E56" s="26"/>
      <c r="F56" s="39"/>
      <c r="G56" s="40"/>
    </row>
    <row r="57" spans="1:7" ht="50.25" customHeight="1">
      <c r="A57" s="26"/>
      <c r="B57" s="27">
        <v>4</v>
      </c>
      <c r="C57" s="28" t="s">
        <v>82</v>
      </c>
      <c r="D57" s="26"/>
      <c r="E57" s="26"/>
      <c r="F57" s="39"/>
      <c r="G57" s="40"/>
    </row>
    <row r="58" spans="1:7" ht="12">
      <c r="A58" s="26"/>
      <c r="B58" s="27">
        <v>5</v>
      </c>
      <c r="C58" s="28" t="s">
        <v>83</v>
      </c>
      <c r="D58" s="26"/>
      <c r="E58" s="26"/>
      <c r="F58" s="42">
        <f>'Sotningstaxa underlag'!G43</f>
        <v>550</v>
      </c>
      <c r="G58" s="40"/>
    </row>
    <row r="59" spans="1:7" ht="48">
      <c r="A59" s="26"/>
      <c r="B59" s="27"/>
      <c r="C59" s="28" t="s">
        <v>84</v>
      </c>
      <c r="D59" s="26"/>
      <c r="E59" s="26"/>
      <c r="F59" s="39"/>
      <c r="G59" s="40"/>
    </row>
    <row r="60" spans="1:7" ht="25.5" customHeight="1">
      <c r="A60" s="26"/>
      <c r="B60" s="27"/>
      <c r="C60" s="28" t="s">
        <v>85</v>
      </c>
      <c r="D60" s="26"/>
      <c r="E60" s="26"/>
      <c r="F60" s="39"/>
      <c r="G60" s="40"/>
    </row>
    <row r="61" spans="1:7" ht="24">
      <c r="A61" s="26"/>
      <c r="B61" s="27"/>
      <c r="C61" s="28" t="s">
        <v>86</v>
      </c>
      <c r="D61" s="26"/>
      <c r="E61" s="26"/>
      <c r="F61" s="39"/>
      <c r="G61" s="40"/>
    </row>
    <row r="62" spans="1:7" ht="49.5" customHeight="1">
      <c r="A62" s="26"/>
      <c r="B62" s="27">
        <v>6</v>
      </c>
      <c r="C62" s="28" t="s">
        <v>158</v>
      </c>
      <c r="D62" s="26"/>
      <c r="E62" s="26"/>
      <c r="F62" s="52"/>
      <c r="G62" s="53"/>
    </row>
  </sheetData>
  <sheetProtection/>
  <printOptions gridLines="1"/>
  <pageMargins left="0.6" right="0.25" top="0.58" bottom="0.51" header="0.5118110236220472" footer="0.27"/>
  <pageSetup horizontalDpi="300" verticalDpi="300" orientation="portrait" paperSize="9" scale="96" r:id="rId1"/>
  <headerFooter alignWithMargins="0">
    <oddFooter>&amp;L&amp;6&amp;F/&amp;A/&amp;D/&amp;T&amp;R&amp;6© Göran Anderberg</oddFooter>
  </headerFooter>
  <rowBreaks count="1" manualBreakCount="1">
    <brk id="4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zoomScalePageLayoutView="0" workbookViewId="0" topLeftCell="A1">
      <selection activeCell="D29" sqref="D29"/>
    </sheetView>
  </sheetViews>
  <sheetFormatPr defaultColWidth="9.140625" defaultRowHeight="12.75"/>
  <cols>
    <col min="1" max="1" width="13.421875" style="1" customWidth="1"/>
    <col min="2" max="2" width="8.57421875" style="1" customWidth="1"/>
    <col min="3" max="3" width="9.8515625" style="1" customWidth="1"/>
    <col min="4" max="4" width="23.140625" style="1" customWidth="1"/>
    <col min="5" max="5" width="17.421875" style="1" customWidth="1"/>
    <col min="6" max="6" width="5.00390625" style="1" customWidth="1"/>
    <col min="7" max="7" width="22.00390625" style="1" customWidth="1"/>
    <col min="8" max="9" width="13.00390625" style="1" customWidth="1"/>
    <col min="10" max="10" width="12.8515625" style="1" customWidth="1"/>
    <col min="11" max="16384" width="9.140625" style="1" customWidth="1"/>
  </cols>
  <sheetData>
    <row r="1" spans="1:8" ht="12.75">
      <c r="A1" s="1" t="str">
        <f>Grundformulär!C6</f>
        <v>Trosa</v>
      </c>
      <c r="E1" s="87">
        <f>Grundformulär!C8</f>
        <v>45033</v>
      </c>
      <c r="F1" s="87"/>
      <c r="H1" s="88" t="str">
        <f>Grundformulär!C10</f>
        <v>Torgny Sundberg</v>
      </c>
    </row>
    <row r="3" spans="1:9" s="25" customFormat="1" ht="18">
      <c r="A3" s="58" t="s">
        <v>159</v>
      </c>
      <c r="I3" s="1"/>
    </row>
    <row r="4" spans="1:9" s="25" customFormat="1" ht="18">
      <c r="A4" s="58"/>
      <c r="I4" s="1"/>
    </row>
    <row r="5" ht="12.75">
      <c r="G5" s="2"/>
    </row>
    <row r="6" spans="1:7" ht="51" customHeight="1">
      <c r="A6" s="59" t="s">
        <v>87</v>
      </c>
      <c r="B6" s="60"/>
      <c r="C6" s="61"/>
      <c r="D6" s="62" t="s">
        <v>100</v>
      </c>
      <c r="E6" s="96" t="s">
        <v>105</v>
      </c>
      <c r="F6" s="62" t="s">
        <v>107</v>
      </c>
      <c r="G6" s="63" t="str">
        <f>IF('Sotningstaxa underlag'!G6&gt;0,"Förslag till arvode            "&amp;" för period                          "&amp;TEXT(Grundformulär!E29,"åååå-MM-dd")&amp;"--"&amp;TEXT(Grundformulär!E30,"åååå-MM-dd"),"")</f>
        <v>Förslag till arvode             för period                          2023-06-01--2024-05-31</v>
      </c>
    </row>
    <row r="7" spans="1:7" s="68" customFormat="1" ht="12.75">
      <c r="A7" s="64" t="s">
        <v>88</v>
      </c>
      <c r="B7" s="65"/>
      <c r="C7" s="65"/>
      <c r="D7" s="66">
        <v>256</v>
      </c>
      <c r="E7" s="66" t="s">
        <v>89</v>
      </c>
      <c r="F7" s="66"/>
      <c r="G7" s="67">
        <f>'Sotningstaxa underlag'!G6</f>
        <v>550.3668060000001</v>
      </c>
    </row>
    <row r="8" spans="1:7" s="2" customFormat="1" ht="12.75">
      <c r="A8" s="4"/>
      <c r="B8" s="69"/>
      <c r="C8" s="69"/>
      <c r="D8" s="70"/>
      <c r="E8" s="71"/>
      <c r="F8" s="71"/>
      <c r="G8" s="102"/>
    </row>
    <row r="9" spans="1:7" ht="12.75">
      <c r="A9" s="72">
        <v>1</v>
      </c>
      <c r="B9" s="73" t="s">
        <v>90</v>
      </c>
      <c r="C9" s="74">
        <v>4999</v>
      </c>
      <c r="D9" s="75">
        <v>11090</v>
      </c>
      <c r="E9" s="75">
        <f aca="true" t="shared" si="0" ref="E9:E19">D9/$D$7</f>
        <v>43.3203125</v>
      </c>
      <c r="F9" s="1">
        <v>1</v>
      </c>
      <c r="G9" s="75">
        <f>ROUND($E9*G$7/10,0)*10</f>
        <v>23840</v>
      </c>
    </row>
    <row r="10" spans="1:7" ht="12.75">
      <c r="A10" s="72">
        <v>5000</v>
      </c>
      <c r="B10" s="73" t="s">
        <v>90</v>
      </c>
      <c r="C10" s="74">
        <v>6999</v>
      </c>
      <c r="D10" s="75">
        <v>11420</v>
      </c>
      <c r="E10" s="75">
        <f t="shared" si="0"/>
        <v>44.609375</v>
      </c>
      <c r="F10" s="1">
        <v>2</v>
      </c>
      <c r="G10" s="75">
        <f aca="true" t="shared" si="1" ref="G10:G19">ROUND($E10*G$7/10,0)*10</f>
        <v>24550</v>
      </c>
    </row>
    <row r="11" spans="1:7" ht="12.75">
      <c r="A11" s="72">
        <v>7000</v>
      </c>
      <c r="B11" s="73" t="s">
        <v>90</v>
      </c>
      <c r="C11" s="74">
        <v>9999</v>
      </c>
      <c r="D11" s="75">
        <v>12560</v>
      </c>
      <c r="E11" s="75">
        <f t="shared" si="0"/>
        <v>49.0625</v>
      </c>
      <c r="F11" s="1">
        <v>3</v>
      </c>
      <c r="G11" s="75">
        <f t="shared" si="1"/>
        <v>27000</v>
      </c>
    </row>
    <row r="12" spans="1:7" ht="12.75">
      <c r="A12" s="72">
        <v>10000</v>
      </c>
      <c r="B12" s="73" t="s">
        <v>90</v>
      </c>
      <c r="C12" s="74">
        <v>14999</v>
      </c>
      <c r="D12" s="75">
        <v>16790</v>
      </c>
      <c r="E12" s="75">
        <f t="shared" si="0"/>
        <v>65.5859375</v>
      </c>
      <c r="F12" s="1">
        <v>4</v>
      </c>
      <c r="G12" s="75">
        <f t="shared" si="1"/>
        <v>36100</v>
      </c>
    </row>
    <row r="13" spans="1:7" ht="12.75">
      <c r="A13" s="72">
        <v>15000</v>
      </c>
      <c r="B13" s="73" t="s">
        <v>90</v>
      </c>
      <c r="C13" s="74">
        <v>19999</v>
      </c>
      <c r="D13" s="75">
        <v>21970</v>
      </c>
      <c r="E13" s="75">
        <f t="shared" si="0"/>
        <v>85.8203125</v>
      </c>
      <c r="F13" s="1">
        <v>5</v>
      </c>
      <c r="G13" s="75">
        <f t="shared" si="1"/>
        <v>47230</v>
      </c>
    </row>
    <row r="14" spans="1:7" ht="12.75">
      <c r="A14" s="72">
        <v>20000</v>
      </c>
      <c r="B14" s="73" t="s">
        <v>90</v>
      </c>
      <c r="C14" s="74">
        <v>29999</v>
      </c>
      <c r="D14" s="75">
        <v>29660</v>
      </c>
      <c r="E14" s="75">
        <f t="shared" si="0"/>
        <v>115.859375</v>
      </c>
      <c r="F14" s="1">
        <v>6</v>
      </c>
      <c r="G14" s="75">
        <f t="shared" si="1"/>
        <v>63770</v>
      </c>
    </row>
    <row r="15" spans="1:7" ht="12.75">
      <c r="A15" s="72">
        <v>30000</v>
      </c>
      <c r="B15" s="73" t="s">
        <v>90</v>
      </c>
      <c r="C15" s="74">
        <v>39999</v>
      </c>
      <c r="D15" s="75">
        <v>37600</v>
      </c>
      <c r="E15" s="75">
        <f t="shared" si="0"/>
        <v>146.875</v>
      </c>
      <c r="F15" s="1">
        <v>7</v>
      </c>
      <c r="G15" s="75">
        <f t="shared" si="1"/>
        <v>80840</v>
      </c>
    </row>
    <row r="16" spans="1:7" ht="12.75">
      <c r="A16" s="72">
        <v>40000</v>
      </c>
      <c r="B16" s="73" t="s">
        <v>90</v>
      </c>
      <c r="C16" s="74">
        <v>49999</v>
      </c>
      <c r="D16" s="75">
        <v>42290</v>
      </c>
      <c r="E16" s="75">
        <f>D16/$D$7</f>
        <v>165.1953125</v>
      </c>
      <c r="F16" s="1">
        <v>8</v>
      </c>
      <c r="G16" s="75">
        <f>ROUND($E16*G$7/10,0)*10</f>
        <v>90920</v>
      </c>
    </row>
    <row r="17" spans="1:7" ht="12.75">
      <c r="A17" s="72">
        <v>50000</v>
      </c>
      <c r="B17" s="73" t="s">
        <v>90</v>
      </c>
      <c r="C17" s="74">
        <v>59999</v>
      </c>
      <c r="D17" s="75">
        <v>45590</v>
      </c>
      <c r="E17" s="75">
        <f t="shared" si="0"/>
        <v>178.0859375</v>
      </c>
      <c r="F17" s="1">
        <v>9</v>
      </c>
      <c r="G17" s="75">
        <f t="shared" si="1"/>
        <v>98010</v>
      </c>
    </row>
    <row r="18" spans="1:7" ht="12.75">
      <c r="A18" s="72">
        <v>60000</v>
      </c>
      <c r="B18" s="73" t="s">
        <v>90</v>
      </c>
      <c r="C18" s="74">
        <v>69999</v>
      </c>
      <c r="D18" s="75">
        <v>49500</v>
      </c>
      <c r="E18" s="75">
        <f t="shared" si="0"/>
        <v>193.359375</v>
      </c>
      <c r="F18" s="1">
        <v>10</v>
      </c>
      <c r="G18" s="75">
        <f t="shared" si="1"/>
        <v>106420</v>
      </c>
    </row>
    <row r="19" spans="1:7" s="3" customFormat="1" ht="38.25" customHeight="1">
      <c r="A19" s="206" t="s">
        <v>91</v>
      </c>
      <c r="B19" s="207"/>
      <c r="C19" s="208"/>
      <c r="D19" s="76">
        <v>7610</v>
      </c>
      <c r="E19" s="76">
        <f t="shared" si="0"/>
        <v>29.7265625</v>
      </c>
      <c r="F19" s="103">
        <v>11</v>
      </c>
      <c r="G19" s="76">
        <f t="shared" si="1"/>
        <v>16360</v>
      </c>
    </row>
    <row r="22" spans="1:6" s="68" customFormat="1" ht="12.75">
      <c r="A22" s="68" t="s">
        <v>103</v>
      </c>
      <c r="C22" s="68" t="s">
        <v>102</v>
      </c>
      <c r="E22" s="68" t="s">
        <v>104</v>
      </c>
      <c r="F22" s="1" t="s">
        <v>106</v>
      </c>
    </row>
    <row r="23" spans="1:6" s="77" customFormat="1" ht="12.75">
      <c r="A23" s="100" t="str">
        <f>A1</f>
        <v>Trosa</v>
      </c>
      <c r="B23" s="100"/>
      <c r="C23" s="99">
        <f>IF(Grundformulär!E22&lt;&gt;"",Grundformulär!E22,Grundformulär!E21)</f>
        <v>0</v>
      </c>
      <c r="D23" s="100"/>
      <c r="E23" s="98">
        <f>IF(C23&lt;&gt;0,IF(C23&lt;=C18,VLOOKUP(F23,F$9:G$18,2,FALSE),G18+TRUNC(((C23-C18)/10000+1),0)*G19),0)</f>
        <v>0</v>
      </c>
      <c r="F23" s="101">
        <f>IF(C23&lt;&gt;0,IF(C23&lt;=C18,MATCH(C23,A$9:A$18),F19),0)</f>
        <v>0</v>
      </c>
    </row>
    <row r="24" spans="3:5" ht="12.75">
      <c r="C24" s="94"/>
      <c r="E24" s="95"/>
    </row>
    <row r="25" spans="3:5" ht="12.75">
      <c r="C25" s="94"/>
      <c r="E25" s="95"/>
    </row>
    <row r="26" spans="3:5" ht="12.75">
      <c r="C26" s="94"/>
      <c r="E26" s="95"/>
    </row>
    <row r="27" spans="3:5" ht="12.75">
      <c r="C27" s="94"/>
      <c r="E27" s="95"/>
    </row>
    <row r="28" spans="3:5" ht="12.75">
      <c r="C28" s="94"/>
      <c r="E28" s="95"/>
    </row>
    <row r="29" spans="3:5" ht="12.75">
      <c r="C29" s="94"/>
      <c r="E29" s="95"/>
    </row>
  </sheetData>
  <sheetProtection/>
  <mergeCells count="1">
    <mergeCell ref="A19:C19"/>
  </mergeCells>
  <conditionalFormatting sqref="G9:G18">
    <cfRule type="expression" priority="1" dxfId="0" stopIfTrue="1">
      <formula>F9=$F$23</formula>
    </cfRule>
  </conditionalFormatting>
  <printOptions/>
  <pageMargins left="0.6" right="0.25" top="0.984251968503937" bottom="0.51" header="0.5118110236220472" footer="0.27"/>
  <pageSetup horizontalDpi="360" verticalDpi="360" orientation="landscape" paperSize="9" r:id="rId1"/>
  <headerFooter alignWithMargins="0">
    <oddFooter>&amp;L&amp;8&amp;F/&amp;A/&amp;D/&amp;T&amp;R&amp;8© Göran Anderberg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Göran Anderberg</dc:creator>
  <cp:keywords/>
  <dc:description/>
  <cp:lastModifiedBy>Torgny Sundberg</cp:lastModifiedBy>
  <cp:lastPrinted>2022-04-28T12:17:19Z</cp:lastPrinted>
  <dcterms:created xsi:type="dcterms:W3CDTF">2001-09-15T12:45:06Z</dcterms:created>
  <dcterms:modified xsi:type="dcterms:W3CDTF">2023-04-17T06:03:24Z</dcterms:modified>
  <cp:category/>
  <cp:version/>
  <cp:contentType/>
  <cp:contentStatus/>
</cp:coreProperties>
</file>